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1415" windowHeight="7140" tabRatio="1000" activeTab="2"/>
  </bookViews>
  <sheets>
    <sheet name="KM, PASSAGEIROS E PESSOAL" sheetId="1" r:id="rId1"/>
    <sheet name="FROTA E CUSTOS" sheetId="2" r:id="rId2"/>
    <sheet name="TÁRIFA " sheetId="3" r:id="rId3"/>
    <sheet name="REMUNERAÇÃO" sheetId="4" r:id="rId4"/>
  </sheets>
  <definedNames>
    <definedName name="_xlfn.AVERAGEIF" hidden="1">#NAME?</definedName>
    <definedName name="_xlnm.Print_Area" localSheetId="1">'FROTA E CUSTOS'!$J$2:$O$37</definedName>
    <definedName name="_xlnm.Print_Area" localSheetId="0">'KM, PASSAGEIROS E PESSOAL'!$B$1:$K$10</definedName>
    <definedName name="_xlnm.Print_Area" localSheetId="3">'REMUNERAÇÃO'!$A$1:$F$46</definedName>
    <definedName name="_xlnm.Print_Area" localSheetId="2">'TÁRIFA '!$A$1:$M$64</definedName>
  </definedNames>
  <calcPr fullCalcOnLoad="1"/>
  <pivotCaches>
    <pivotCache cacheId="5" r:id="rId5"/>
  </pivotCaches>
</workbook>
</file>

<file path=xl/comments1.xml><?xml version="1.0" encoding="utf-8"?>
<comments xmlns="http://schemas.openxmlformats.org/spreadsheetml/2006/main">
  <authors>
    <author>Jo???o Ney Mar???a</author>
  </authors>
  <commentList>
    <comment ref="N13" authorId="0">
      <text>
        <r>
          <rPr>
            <sz val="9"/>
            <rFont val="Calibri"/>
            <family val="2"/>
          </rPr>
          <t>1/11</t>
        </r>
      </text>
    </comment>
    <comment ref="Q13" authorId="0">
      <text>
        <r>
          <rPr>
            <sz val="9"/>
            <rFont val="Calibri"/>
            <family val="2"/>
          </rPr>
          <t>1/11</t>
        </r>
      </text>
    </comment>
    <comment ref="N15" authorId="0">
      <text>
        <r>
          <rPr>
            <sz val="9"/>
            <rFont val="Calibri"/>
            <family val="2"/>
          </rPr>
          <t>10% da tripulação estimada</t>
        </r>
      </text>
    </comment>
    <comment ref="Q15" authorId="0">
      <text>
        <r>
          <rPr>
            <sz val="9"/>
            <rFont val="Calibri"/>
            <family val="2"/>
          </rPr>
          <t>10% da tripulação estimada</t>
        </r>
      </text>
    </comment>
    <comment ref="N17" authorId="0">
      <text>
        <r>
          <rPr>
            <sz val="9"/>
            <rFont val="Calibri"/>
            <family val="2"/>
          </rPr>
          <t>5% da Tripulação Total</t>
        </r>
      </text>
    </comment>
    <comment ref="Q17" authorId="0">
      <text>
        <r>
          <rPr>
            <sz val="9"/>
            <rFont val="Calibri"/>
            <family val="2"/>
          </rPr>
          <t>5% da Tripulação Total</t>
        </r>
      </text>
    </comment>
  </commentList>
</comments>
</file>

<file path=xl/comments3.xml><?xml version="1.0" encoding="utf-8"?>
<comments xmlns="http://schemas.openxmlformats.org/spreadsheetml/2006/main">
  <authors>
    <author>IGLENE</author>
  </authors>
  <commentList>
    <comment ref="C20" authorId="0">
      <text>
        <r>
          <rPr>
            <b/>
            <sz val="9"/>
            <rFont val="Tahoma"/>
            <family val="2"/>
          </rPr>
          <t>0,3368 litros / km</t>
        </r>
      </text>
    </comment>
    <comment ref="D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G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J20" authorId="0">
      <text>
        <r>
          <rPr>
            <b/>
            <sz val="9"/>
            <rFont val="Tahoma"/>
            <family val="2"/>
          </rPr>
          <t>Preço do litro do óleo diesel S500 com desoneração ICMS</t>
        </r>
      </text>
    </comment>
    <comment ref="D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G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J21" authorId="0">
      <text>
        <r>
          <rPr>
            <b/>
            <sz val="9"/>
            <rFont val="Tahoma"/>
            <family val="2"/>
          </rPr>
          <t>Preço do litro do óleo diesel S10 com desoneração ICMS</t>
        </r>
      </text>
    </comment>
    <comment ref="C21" authorId="0">
      <text>
        <r>
          <rPr>
            <b/>
            <sz val="9"/>
            <rFont val="Tahoma"/>
            <family val="2"/>
          </rPr>
          <t>0,3065 litros / km</t>
        </r>
      </text>
    </comment>
    <comment ref="C22" authorId="0">
      <text>
        <r>
          <rPr>
            <b/>
            <sz val="9"/>
            <rFont val="Tahoma"/>
            <family val="2"/>
          </rPr>
          <t>0,0019 litros / km</t>
        </r>
      </text>
    </comment>
    <comment ref="D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G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J22" authorId="0">
      <text>
        <r>
          <rPr>
            <b/>
            <sz val="9"/>
            <rFont val="Tahoma"/>
            <family val="2"/>
          </rPr>
          <t>Preço do litro do Arla</t>
        </r>
      </text>
    </comment>
    <comment ref="F20" authorId="0">
      <text>
        <r>
          <rPr>
            <b/>
            <sz val="9"/>
            <rFont val="Tahoma"/>
            <family val="2"/>
          </rPr>
          <t>0,3982 litros / km</t>
        </r>
      </text>
    </comment>
    <comment ref="F21" authorId="0">
      <text>
        <r>
          <rPr>
            <b/>
            <sz val="9"/>
            <rFont val="Tahoma"/>
            <family val="2"/>
          </rPr>
          <t>0,3969 litros / km</t>
        </r>
      </text>
    </comment>
    <comment ref="F22" authorId="0">
      <text>
        <r>
          <rPr>
            <b/>
            <sz val="9"/>
            <rFont val="Tahoma"/>
            <family val="2"/>
          </rPr>
          <t>0,0068 litros / km</t>
        </r>
      </text>
    </comment>
    <comment ref="I20" authorId="0">
      <text>
        <r>
          <rPr>
            <b/>
            <sz val="9"/>
            <rFont val="Tahoma"/>
            <family val="2"/>
          </rPr>
          <t>0,7938 litros / km</t>
        </r>
      </text>
    </comment>
    <comment ref="I21" authorId="0">
      <text>
        <r>
          <rPr>
            <b/>
            <sz val="9"/>
            <rFont val="Tahoma"/>
            <family val="2"/>
          </rPr>
          <t>0,6718 litros / km</t>
        </r>
      </text>
    </comment>
    <comment ref="I22" authorId="0">
      <text>
        <r>
          <rPr>
            <b/>
            <sz val="9"/>
            <rFont val="Tahoma"/>
            <family val="2"/>
          </rPr>
          <t>0,0276 litros / km</t>
        </r>
      </text>
    </comment>
    <comment ref="C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D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F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I23" authorId="0">
      <text>
        <r>
          <rPr>
            <b/>
            <sz val="9"/>
            <rFont val="Tahoma"/>
            <family val="2"/>
          </rPr>
          <t>5% do custo do óleo diesel</t>
        </r>
      </text>
    </comment>
    <comment ref="C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F24" authorId="0">
      <text>
        <r>
          <rPr>
            <b/>
            <sz val="9"/>
            <rFont val="Tahoma"/>
            <family val="2"/>
          </rPr>
          <t>6 pneus / vida util (105.000 km)</t>
        </r>
      </text>
    </comment>
    <comment ref="I25" authorId="0">
      <text>
        <r>
          <rPr>
            <b/>
            <sz val="9"/>
            <rFont val="Tahoma"/>
            <family val="2"/>
          </rPr>
          <t>10 pneus / vida util (105.000 km)</t>
        </r>
      </text>
    </comment>
    <comment ref="D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G24" authorId="0">
      <text>
        <r>
          <rPr>
            <b/>
            <sz val="9"/>
            <rFont val="Tahoma"/>
            <family val="2"/>
          </rPr>
          <t>Preço do pneu:
PNEU 275/80 (Midi e Conv)</t>
        </r>
      </text>
    </comment>
    <comment ref="J25" authorId="0">
      <text>
        <r>
          <rPr>
            <b/>
            <sz val="9"/>
            <rFont val="Tahoma"/>
            <family val="2"/>
          </rPr>
          <t>Preço do pneu:
PNEU 295/80 (Articulado)</t>
        </r>
      </text>
    </comment>
    <comment ref="C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F26" authorId="0">
      <text>
        <r>
          <rPr>
            <b/>
            <sz val="9"/>
            <rFont val="Tahoma"/>
            <family val="2"/>
          </rPr>
          <t>2,5 recapagens x 6 pneus / vida util (105.000 km)</t>
        </r>
      </text>
    </comment>
    <comment ref="I27" authorId="0">
      <text>
        <r>
          <rPr>
            <b/>
            <sz val="9"/>
            <rFont val="Tahoma"/>
            <family val="2"/>
          </rPr>
          <t>2,5 recapagens x 10 pneus / vida util (105.000 km)</t>
        </r>
      </text>
    </comment>
    <comment ref="D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G26" authorId="0">
      <text>
        <r>
          <rPr>
            <b/>
            <sz val="9"/>
            <rFont val="Tahoma"/>
            <family val="2"/>
          </rPr>
          <t>Preço da recapagem do pneu:
PNEU 275/80 (Midi e Conv)</t>
        </r>
      </text>
    </comment>
    <comment ref="J27" authorId="0">
      <text>
        <r>
          <rPr>
            <b/>
            <sz val="9"/>
            <rFont val="Tahoma"/>
            <family val="2"/>
          </rPr>
          <t>Preço da recapagem do pneu:
PNEU 295/80 (Articulado)</t>
        </r>
      </text>
    </comment>
    <comment ref="C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F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I30" authorId="0">
      <text>
        <r>
          <rPr>
            <b/>
            <sz val="9"/>
            <rFont val="Tahoma"/>
            <family val="2"/>
          </rPr>
          <t>7,68% do valor de cada tipo de veículo novo, que indica um coeficiente de 0,0064</t>
        </r>
      </text>
    </comment>
    <comment ref="D3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3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3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31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1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J32" authorId="0">
      <text>
        <r>
          <rPr>
            <b/>
            <sz val="9"/>
            <rFont val="Tahoma"/>
            <family val="2"/>
          </rPr>
          <t>Salário de cobrador</t>
        </r>
      </text>
    </comment>
    <comment ref="C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I31" authorId="0">
      <text>
        <r>
          <rPr>
            <b/>
            <sz val="9"/>
            <rFont val="Tahoma"/>
            <family val="2"/>
          </rPr>
          <t>Fator utilização motorista</t>
        </r>
      </text>
    </comment>
    <comment ref="F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I32" authorId="0">
      <text>
        <r>
          <rPr>
            <b/>
            <sz val="9"/>
            <rFont val="Tahoma"/>
            <family val="2"/>
          </rPr>
          <t>Fator utilização cobrador</t>
        </r>
      </text>
    </comment>
    <comment ref="D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G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33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F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I33" authorId="0">
      <text>
        <r>
          <rPr>
            <b/>
            <sz val="9"/>
            <rFont val="Tahoma"/>
            <family val="2"/>
          </rPr>
          <t>1 supervisor para cada 5 ônibus (0,2)</t>
        </r>
      </text>
    </comment>
    <comment ref="E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1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E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H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K33" authorId="0">
      <text>
        <r>
          <rPr>
            <b/>
            <sz val="9"/>
            <rFont val="Tahoma"/>
            <family val="2"/>
          </rPr>
          <t>encargos 64,64% (anexo)
real 42,3893%</t>
        </r>
      </text>
    </comment>
    <comment ref="C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F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I34" authorId="0">
      <text>
        <r>
          <rPr>
            <b/>
            <sz val="9"/>
            <rFont val="Tahoma"/>
            <family val="2"/>
          </rPr>
          <t>0,135 do custo do pessoal de tráfego</t>
        </r>
      </text>
    </comment>
    <comment ref="D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34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D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G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J35" authorId="0">
      <text>
        <r>
          <rPr>
            <b/>
            <sz val="9"/>
            <rFont val="Tahoma"/>
            <family val="2"/>
          </rPr>
          <t>Valor do vale refeição</t>
        </r>
      </text>
    </comment>
    <comment ref="C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E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>
      <text>
        <r>
          <rPr>
            <b/>
            <sz val="9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>
      <text>
        <r>
          <rPr>
            <b/>
            <sz val="9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G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J38" authorId="0">
      <text>
        <r>
          <rPr>
            <b/>
            <sz val="9"/>
            <rFont val="Tahoma"/>
            <family val="2"/>
          </rPr>
          <t>Valor de seguro obrigatório + contra terceiro</t>
        </r>
      </text>
    </comment>
    <comment ref="C40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F40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I40" authorId="0">
      <text>
        <r>
          <rPr>
            <b/>
            <sz val="9"/>
            <rFont val="Tahoma"/>
            <family val="2"/>
          </rPr>
          <t>0,105 do custo do pessoal de tráfego</t>
        </r>
      </text>
    </comment>
    <comment ref="D40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G40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J40" authorId="0">
      <text>
        <r>
          <rPr>
            <b/>
            <sz val="9"/>
            <rFont val="Tahoma"/>
            <family val="2"/>
          </rPr>
          <t>Custo do pessoal de tráfego</t>
        </r>
      </text>
    </comment>
    <comment ref="C41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F41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I41" authorId="0">
      <text>
        <r>
          <rPr>
            <b/>
            <sz val="9"/>
            <rFont val="Tahoma"/>
            <family val="2"/>
          </rPr>
          <t>0,0033 do valor de um veículo novo completo tipo convencional</t>
        </r>
      </text>
    </comment>
    <comment ref="D41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1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1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C42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F42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I42" authorId="0">
      <text>
        <r>
          <rPr>
            <b/>
            <sz val="9"/>
            <rFont val="Tahoma"/>
            <family val="2"/>
          </rPr>
          <t>0,3778 do salário de motorista</t>
        </r>
      </text>
    </comment>
    <comment ref="D42" authorId="0">
      <text>
        <r>
          <rPr>
            <b/>
            <sz val="9"/>
            <rFont val="Tahoma"/>
            <family val="2"/>
          </rPr>
          <t>Salário de motorista JR</t>
        </r>
      </text>
    </comment>
    <comment ref="G42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J42" authorId="0">
      <text>
        <r>
          <rPr>
            <b/>
            <sz val="9"/>
            <rFont val="Tahoma"/>
            <family val="2"/>
          </rPr>
          <t>Salário de motorista pleno</t>
        </r>
      </text>
    </comment>
    <comment ref="C47" authorId="0">
      <text>
        <r>
          <rPr>
            <b/>
            <sz val="9"/>
            <rFont val="Tahoma"/>
            <family val="2"/>
          </rPr>
          <t>10 anos = 120 meses</t>
        </r>
      </text>
    </comment>
    <comment ref="F47" authorId="0">
      <text>
        <r>
          <rPr>
            <b/>
            <sz val="9"/>
            <rFont val="Tahoma"/>
            <family val="2"/>
          </rPr>
          <t>10 anos = 120 meses</t>
        </r>
      </text>
    </comment>
    <comment ref="I47" authorId="0">
      <text>
        <r>
          <rPr>
            <b/>
            <sz val="9"/>
            <rFont val="Tahoma"/>
            <family val="2"/>
          </rPr>
          <t>10 anos = 120 meses</t>
        </r>
      </text>
    </comment>
    <comment ref="D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49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1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5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1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G5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1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J52" authorId="0">
      <text>
        <r>
          <rPr>
            <b/>
            <sz val="9"/>
            <rFont val="Tahoma"/>
            <family val="2"/>
          </rPr>
          <t>Preço de um veículo Convencional novo completo</t>
        </r>
      </text>
    </comment>
    <comment ref="D47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47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47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D50" authorId="0">
      <text>
        <r>
          <rPr>
            <b/>
            <sz val="9"/>
            <rFont val="Tahoma"/>
            <family val="2"/>
          </rPr>
          <t>Preço de um veículo MIDI novo s/pneu</t>
        </r>
      </text>
    </comment>
    <comment ref="G50" authorId="0">
      <text>
        <r>
          <rPr>
            <b/>
            <sz val="9"/>
            <rFont val="Tahoma"/>
            <family val="2"/>
          </rPr>
          <t>Preço de um veículo Convencional novo s/pneu</t>
        </r>
      </text>
    </comment>
    <comment ref="J50" authorId="0">
      <text>
        <r>
          <rPr>
            <b/>
            <sz val="9"/>
            <rFont val="Tahoma"/>
            <family val="2"/>
          </rPr>
          <t>Preço de um veículo Articulado novo s/pneu</t>
        </r>
      </text>
    </comment>
    <comment ref="C51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F51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I51" authorId="0">
      <text>
        <r>
          <rPr>
            <b/>
            <sz val="9"/>
            <rFont val="Tahoma"/>
            <family val="2"/>
          </rPr>
          <t>0,0004 do valor de um veículo novo completo tipo convencional</t>
        </r>
      </text>
    </comment>
    <comment ref="C52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F52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I52" authorId="0">
      <text>
        <r>
          <rPr>
            <b/>
            <sz val="9"/>
            <rFont val="Tahoma"/>
            <family val="2"/>
          </rPr>
          <t>0,0003 do valor de um veículo novo completo tipo convencional</t>
        </r>
      </text>
    </comment>
    <comment ref="C49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F49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I49" authorId="0">
      <text>
        <r>
          <rPr>
            <b/>
            <sz val="9"/>
            <rFont val="Tahoma"/>
            <family val="2"/>
          </rPr>
          <t>0,0001 do valor de um veículo novo completo tipo convencional</t>
        </r>
      </text>
    </comment>
    <comment ref="C50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F50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I50" authorId="0">
      <text>
        <r>
          <rPr>
            <b/>
            <sz val="9"/>
            <rFont val="Tahoma"/>
            <family val="2"/>
          </rPr>
          <t>taxa mensal de 1% sobre o valor de veículo novo da categoria s/pneu deduzindo a parcela já depreciada</t>
        </r>
      </text>
    </comment>
    <comment ref="L56" authorId="0">
      <text>
        <r>
          <rPr>
            <b/>
            <sz val="9"/>
            <rFont val="Tahoma"/>
            <family val="2"/>
          </rPr>
          <t>margem operador 5%</t>
        </r>
      </text>
    </comment>
    <comment ref="L60" authorId="0">
      <text>
        <r>
          <rPr>
            <b/>
            <sz val="9"/>
            <rFont val="Tahoma"/>
            <family val="2"/>
          </rPr>
          <t>número de passageiros / número de km</t>
        </r>
      </text>
    </comment>
    <comment ref="L14" authorId="0">
      <text>
        <r>
          <rPr>
            <b/>
            <sz val="9"/>
            <rFont val="Tahoma"/>
            <family val="2"/>
          </rPr>
          <t>Demanda média equivalente</t>
        </r>
      </text>
    </comment>
    <comment ref="G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J23" authorId="0">
      <text>
        <r>
          <rPr>
            <b/>
            <sz val="9"/>
            <rFont val="Tahoma"/>
            <family val="2"/>
          </rPr>
          <t>Custo do óleo diesel da categoria por km</t>
        </r>
      </text>
    </comment>
    <comment ref="C36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F35" authorId="0">
      <text>
        <r>
          <rPr>
            <b/>
            <sz val="9"/>
            <rFont val="Tahoma"/>
            <family val="2"/>
          </rPr>
          <t>Fator utilização concessionária</t>
        </r>
      </text>
    </comment>
    <comment ref="I35" authorId="0">
      <text>
        <r>
          <rPr>
            <b/>
            <sz val="9"/>
            <rFont val="Tahoma"/>
            <family val="2"/>
          </rPr>
          <t>Fator utilização concessionária</t>
        </r>
      </text>
    </comment>
  </commentList>
</comments>
</file>

<file path=xl/sharedStrings.xml><?xml version="1.0" encoding="utf-8"?>
<sst xmlns="http://schemas.openxmlformats.org/spreadsheetml/2006/main" count="386" uniqueCount="259">
  <si>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</si>
  <si>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</si>
  <si>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</si>
  <si>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</si>
  <si>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</si>
  <si>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</si>
  <si>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</si>
  <si>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</si>
  <si>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</si>
  <si>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</si>
  <si>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</si>
  <si>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</si>
  <si>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</si>
  <si>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</si>
  <si>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</si>
  <si>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</si>
  <si>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</si>
  <si>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</si>
  <si>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</si>
  <si>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</si>
  <si>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</si>
  <si>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</si>
  <si>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</si>
  <si>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</si>
  <si>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</si>
  <si>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</si>
  <si>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</si>
  <si>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</si>
  <si>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</si>
  <si>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</si>
  <si>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</si>
  <si>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</si>
  <si>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</si>
  <si>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</si>
  <si>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KM PERCORRIDA/DIA</t>
  </si>
  <si>
    <t>KM PERCORRIDA NO PERÍODO</t>
  </si>
  <si>
    <t>TOTAL MÉDIO MENSAL</t>
  </si>
  <si>
    <t>Média mensal</t>
  </si>
  <si>
    <t>PASSAGEIROS EQUIVALENTES TRANSPORTADOS</t>
  </si>
  <si>
    <t>PREÇOS MÉDIOS (conforme modelo de chassi e carroceria)</t>
  </si>
  <si>
    <t>CHASSI</t>
  </si>
  <si>
    <t>CAROCERIA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</si>
  <si>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</si>
  <si>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</si>
  <si>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</si>
  <si>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</si>
  <si>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</si>
  <si>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</si>
  <si>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</si>
  <si>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</si>
  <si>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DOMINGOS E FERIADOS</t>
  </si>
  <si>
    <t>MÊS</t>
  </si>
  <si>
    <t>T0TAL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</si>
  <si>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</si>
  <si>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</si>
  <si>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</si>
  <si>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</si>
  <si>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</si>
  <si>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</si>
  <si>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</si>
  <si>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</si>
  <si>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</si>
  <si>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</si>
  <si>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</si>
  <si>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</si>
  <si>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</si>
  <si>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</si>
  <si>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</si>
  <si>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</si>
  <si>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</si>
  <si>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TOTAL</t>
  </si>
  <si>
    <t>FROTA OPERANTE</t>
  </si>
  <si>
    <t>KM MENSAL PROGRAMADA</t>
  </si>
  <si>
    <t>PMM FROTA OPERANTE</t>
  </si>
  <si>
    <t>PMM FROTA TOTAL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</si>
  <si>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</si>
  <si>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</si>
  <si>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</si>
  <si>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</si>
  <si>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</si>
  <si>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</si>
  <si>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</si>
  <si>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Fundo Assitencial Sindicato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</si>
  <si>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</si>
  <si>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</si>
  <si>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</si>
  <si>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</si>
  <si>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</si>
  <si>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</si>
  <si>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</si>
  <si>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</si>
  <si>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</si>
  <si>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</si>
  <si>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</si>
  <si>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</si>
  <si>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</si>
  <si>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MOTORISTA JUNIOR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</si>
  <si>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</si>
  <si>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</si>
  <si>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</si>
  <si>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</si>
  <si>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</si>
  <si>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</si>
  <si>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</si>
  <si>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</si>
  <si>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</si>
  <si>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</si>
  <si>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</si>
  <si>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</si>
  <si>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</si>
  <si>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ATUAL APÓS DISSÍDIO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</si>
  <si>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</si>
  <si>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</si>
  <si>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</si>
  <si>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</si>
  <si>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</si>
  <si>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</si>
  <si>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</si>
  <si>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Quilometragem Diária Considerada - ATUAL</t>
  </si>
  <si>
    <t>CUSTO POR LITRO COM ICMS</t>
  </si>
  <si>
    <t xml:space="preserve">COMPOSIÇÃO DO CUSTO DO DIESEL S500 </t>
  </si>
  <si>
    <t xml:space="preserve">COMPOSIÇÃO DO CUSTO DO DIESEL S10 </t>
  </si>
  <si>
    <t xml:space="preserve">ARLA 32 </t>
  </si>
  <si>
    <t>KM MENSAL S500</t>
  </si>
  <si>
    <t>KM MENSAL S10</t>
  </si>
  <si>
    <t>PORCENTAGEM / KM</t>
  </si>
  <si>
    <t>S10</t>
  </si>
  <si>
    <t>S500</t>
  </si>
  <si>
    <t>COMUM</t>
  </si>
  <si>
    <t>MID BUS</t>
  </si>
  <si>
    <t>COMPOSIÇÃO KM /TIPO DE COMBUSTIVEL - % CATEGORIA</t>
  </si>
  <si>
    <t>Combustível S500</t>
  </si>
  <si>
    <t>Combustível S10</t>
  </si>
  <si>
    <t>Arla</t>
  </si>
  <si>
    <t>Combustível s500</t>
  </si>
  <si>
    <t>Combustível s10</t>
  </si>
  <si>
    <t>R$/tarifa</t>
  </si>
  <si>
    <t>Remuneração Mês</t>
  </si>
  <si>
    <t>Remuneração Ano</t>
  </si>
  <si>
    <t>Custo KM</t>
  </si>
  <si>
    <t xml:space="preserve">% </t>
  </si>
  <si>
    <t>Subtotal A)</t>
  </si>
  <si>
    <t>Subtotal B)</t>
  </si>
  <si>
    <t>Subtotal D)</t>
  </si>
  <si>
    <t>ADEQUAÇÕES BANHEIROS</t>
  </si>
  <si>
    <t>FATORES DE UTILIZAÇÃO DE MOTORISTAS E COBRADORES 2017</t>
  </si>
  <si>
    <t>jan.17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</si>
  <si>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</si>
  <si>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</si>
  <si>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</si>
  <si>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</si>
  <si>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</si>
  <si>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</si>
  <si>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</si>
  <si>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</si>
  <si>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</si>
  <si>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</si>
  <si>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</si>
  <si>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</si>
  <si>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TIPO</t>
  </si>
  <si>
    <t>(vazio)</t>
  </si>
  <si>
    <t>Total</t>
  </si>
  <si>
    <t xml:space="preserve">DISTRIBUIÇÃO DA FROTA </t>
  </si>
  <si>
    <t>SALÁRIOS DATA BASE 2019</t>
  </si>
  <si>
    <t>VALE ALIMENTAÇÃO DATA BASE/2019</t>
  </si>
  <si>
    <t>Frota Reserv.</t>
  </si>
  <si>
    <t>REMUNERAÇÃO 2019</t>
  </si>
  <si>
    <t>Deprecição veículos 11 anos</t>
  </si>
  <si>
    <t>FROTA 11 ANOS</t>
  </si>
  <si>
    <t>PMM FROTA TOTAL 10 ANOS</t>
  </si>
  <si>
    <t>Depreciação Veículos 11 ANOS</t>
  </si>
  <si>
    <t>FUNDO ASSISTENCIAL SINDICATO /2019</t>
  </si>
  <si>
    <t>2018/2019</t>
  </si>
  <si>
    <t>ANO 2018</t>
  </si>
  <si>
    <t>CUSTO POR LITRO SEM ICMS</t>
  </si>
  <si>
    <t>CUSTO POR LITRO com ICMS</t>
  </si>
  <si>
    <t>Cargo</t>
  </si>
  <si>
    <t>Almoxarife Junior/44 01530003</t>
  </si>
  <si>
    <t>Almoxarife Pleno/.</t>
  </si>
  <si>
    <t>Almoxarife Senior/44 01510004</t>
  </si>
  <si>
    <t>Analista de Apoio/44 03060001</t>
  </si>
  <si>
    <t>Analista de R. H./44 00910001</t>
  </si>
  <si>
    <t>Analista de Treinam. e Desenvolvimento/44 03100004</t>
  </si>
  <si>
    <t>Analista Financeiro Contábil Pleno/44 002</t>
  </si>
  <si>
    <t>Arrecadador Junior/44 00380001</t>
  </si>
  <si>
    <t>Arrecadador Junior/44 00380002</t>
  </si>
  <si>
    <t>Arrecadador Pleno/44 00200001</t>
  </si>
  <si>
    <t>Assistente Contábil/44 00060002</t>
  </si>
  <si>
    <t>Assistente de P.C.M. Junior/44 01620004</t>
  </si>
  <si>
    <t>Assistente de PCM Senior/44 01730001</t>
  </si>
  <si>
    <t>Atendente Comercial Junior/44 03000003</t>
  </si>
  <si>
    <t>Atendente Comercial Pleno/44 03010003</t>
  </si>
  <si>
    <t>Auditor (a) de Tráfego Junior/44 03170002</t>
  </si>
  <si>
    <t>Auditor (a) de Tráfego Senior/44 03160001</t>
  </si>
  <si>
    <t>Aux. Adm. Aprendiz/44 01080001</t>
  </si>
  <si>
    <t>Aux. Administrativo/44 02410003</t>
  </si>
  <si>
    <t>Aux. de Serv. Gerais/44 01270002</t>
  </si>
  <si>
    <t>Auxiliar Financeiro/44 00120002</t>
  </si>
  <si>
    <t>Borracheiro Junior/44 01170001</t>
  </si>
  <si>
    <t>Borracheiro Pleno/44 01180001</t>
  </si>
  <si>
    <t>Borracheiro Pleno/44 01180005</t>
  </si>
  <si>
    <t>Borracheiro Senior/44 01190001</t>
  </si>
  <si>
    <t>Chefe de Oficina/44 02700001</t>
  </si>
  <si>
    <t>Comprador(a)/44 00950002</t>
  </si>
  <si>
    <t>Contador/44 00050001</t>
  </si>
  <si>
    <t>Controlador de C.C.O Júnior/44 02570001</t>
  </si>
  <si>
    <t>Controlador de C.C.O. Pleno/44 02570003</t>
  </si>
  <si>
    <t>Coordenador de Trafego Junior/44 00490001</t>
  </si>
  <si>
    <t>Coordenador de Tráfego Pleno/44 00890001</t>
  </si>
  <si>
    <t>Eletricista Pleno/44 00750002</t>
  </si>
  <si>
    <t>Eletricista Senior/44 01330001</t>
  </si>
  <si>
    <t>Encarregado de P.C.M. e Logistica/44 02800001</t>
  </si>
  <si>
    <t>Eng. de Seg. do Trabalho/44 00230001</t>
  </si>
  <si>
    <t>Gerente de Manutenção/44 06000001</t>
  </si>
  <si>
    <t>Gerente de Recursos Humanos/44 00130003</t>
  </si>
  <si>
    <t>Gerente de Trafego/44 04000001</t>
  </si>
  <si>
    <t>Instrutor de Motoristas/44 02550001</t>
  </si>
  <si>
    <t>Latoeiro Pleno/44 00770001</t>
  </si>
  <si>
    <t>Latoeiro Sênior/44 01350001</t>
  </si>
  <si>
    <t>Lavador de Veículos Lider/44 01290001</t>
  </si>
  <si>
    <t>Lavador de Veiculos/44 00680001</t>
  </si>
  <si>
    <t>Líder de Manutenção Predial/Nível I</t>
  </si>
  <si>
    <t>Lubrificador / Abastecedor Junior/44 00720001</t>
  </si>
  <si>
    <t>Lubrificador / Abastecedor Pleno/44 00710001</t>
  </si>
  <si>
    <t>Manobrista/44 01600001</t>
  </si>
  <si>
    <t>Mec. Ajustador Motor/44 00740003</t>
  </si>
  <si>
    <t>Mecânico de Salão Junior/44 00810011</t>
  </si>
  <si>
    <t>Mecânico de Salão Pleno/44 00540002</t>
  </si>
  <si>
    <t>Mecânico de Salão Senior/44 00550003</t>
  </si>
  <si>
    <t>Médico do Trabalho/44 00240003</t>
  </si>
  <si>
    <t>Mensageiro/44 00340001</t>
  </si>
  <si>
    <t>Motorista Junior/.</t>
  </si>
  <si>
    <t>Motorista Pleno/.</t>
  </si>
  <si>
    <t>Pintor Pleno/44 01110001</t>
  </si>
  <si>
    <t>Recepcionista de Portaria/44 03300002</t>
  </si>
  <si>
    <t>Recepcionista de veículos/44 01650002</t>
  </si>
  <si>
    <t>Supervisor (a) Comercial/44 02480004</t>
  </si>
  <si>
    <t>Supervisor de Almoxarifado/44 00940001</t>
  </si>
  <si>
    <t>Supervisor de Arrecadação/44 00190001</t>
  </si>
  <si>
    <t>Supervisor de Lataria/44 01370001</t>
  </si>
  <si>
    <t>Supervisor de Manutenção/44 00880004</t>
  </si>
  <si>
    <t>Supervisor de Oficina Pleno/44 00610007</t>
  </si>
  <si>
    <t>Téc em Enfer. do Trabalho/44 03180001</t>
  </si>
  <si>
    <t>Téc. de Segurança do Trabalho Junior/44 00260002</t>
  </si>
  <si>
    <t>Téc. de Segurança do Trabalho Junior/44 00260005</t>
  </si>
  <si>
    <t>Téc. de Segurança do Trabalho Junior/44 00260006</t>
  </si>
  <si>
    <t>Téc. de Segurança do Trabalho Pleno/44 00430002</t>
  </si>
  <si>
    <t>Téc. de Segurança do Trabalho Senior/44 00460001</t>
  </si>
  <si>
    <t>Telefonista/44 00220001</t>
  </si>
  <si>
    <t>Torneiro Mecânico/44 01640002</t>
  </si>
  <si>
    <t>Trocador (a)/44 0031 003 Reabilitado Pl</t>
  </si>
  <si>
    <t>Trocador (a)/44 00310001</t>
  </si>
  <si>
    <t>Trocador (a)/44 00310002</t>
  </si>
  <si>
    <t>Trocador (a)/44 00310004 Reabilitado Jr</t>
  </si>
  <si>
    <t>Zelador(a)/44 00390002</t>
  </si>
  <si>
    <t>RELAÇÃO DA FOLHA DE PAGAMENTO</t>
  </si>
  <si>
    <t>AMTT -  PLANILHA DE  CUSTOS  DO SISTEMA DE TRANSPORTE PÚBLICO DE PONTA GROSSA  - julho./2019</t>
  </si>
  <si>
    <t>FROTA OPERANTE E FROTA RESERVA</t>
  </si>
  <si>
    <t>FROTA POR TIPO DE COMBUSTIVEL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</si>
</sst>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r$&quot;* #,##0_);_(&quot;Cr$&quot;* \(#,##0\);_(&quot;Cr$&quot;* &quot;-&quot;_);_(@_)"/>
    <numFmt numFmtId="167" formatCode="_(&quot;Cr$&quot;* #,##0.00_);_(&quot;Cr$&quot;* \(#,##0.00\);_(&quot;Cr$&quot;* &quot;-&quot;??_);_(@_)"/>
    <numFmt numFmtId="168" formatCode="#,##0.0000_);\(#,##0.0000\)"/>
    <numFmt numFmtId="169" formatCode="_(* #,##0_);_(* \(#,##0\);_(* &quot;-&quot;??_);_(@_)"/>
    <numFmt numFmtId="170" formatCode="0.0000"/>
    <numFmt numFmtId="171" formatCode="_(* #,##0.0000_);_(* \(#,##0.0000\);_(* &quot;-&quot;??_);_(@_)"/>
    <numFmt numFmtId="172" formatCode="_(* #,##0.00000_);_(* \(#,##0.00000\);_(* &quot;-&quot;??_);_(@_)"/>
    <numFmt numFmtId="173" formatCode="[h]:mm:ss;@"/>
    <numFmt numFmtId="174" formatCode="#,##0.00000_);\(#,##0.00000\)"/>
    <numFmt numFmtId="175" formatCode="_(* #,##0.0000000_);_(* \(#,##0.0000000\);_(* &quot;-&quot;??_);_(@_)"/>
    <numFmt numFmtId="176" formatCode="#,##0.0000;\-#,##0.0000"/>
    <numFmt numFmtId="177" formatCode="#,##0.0000"/>
    <numFmt numFmtId="178" formatCode="_-[$R$-416]\ * #,##0.00_-;\-[$R$-416]\ * #,##0.00_-;_-[$R$-416]\ * &quot;-&quot;??_-;_-@_-"/>
    <numFmt numFmtId="179" formatCode="0.000%"/>
    <numFmt numFmtId="180" formatCode="0.0000%"/>
    <numFmt numFmtId="181" formatCode="[$-416]mmm\-yy;@"/>
    <numFmt numFmtId="182" formatCode="#,##0.000;\-#,##0.000"/>
    <numFmt numFmtId="183" formatCode="#,##0.0000_ ;\-#,##0.0000\ "/>
    <numFmt numFmtId="184" formatCode="_-* #,##0_-;\-* #,##0_-;_-* &quot;-&quot;??_-;_-@_-"/>
    <numFmt numFmtId="185" formatCode="_-* #,##0.0000_-;\-* #,##0.0000_-;_-* &quot;-&quot;????_-;_-@_-"/>
    <numFmt numFmtId="186" formatCode="#,##0.00_ ;\-#,##0.00\ "/>
    <numFmt numFmtId="187" formatCode="#,##0.0;\-#,##0.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%"/>
    <numFmt numFmtId="193" formatCode="[$-416]dddd\,\ d&quot; de &quot;mmmm&quot; de &quot;yyyy"/>
    <numFmt numFmtId="194" formatCode="mmm/yyyy"/>
    <numFmt numFmtId="195" formatCode="#,##0_ ;\-#,##0\ "/>
    <numFmt numFmtId="196" formatCode="[$-416]d\-mmm;@"/>
    <numFmt numFmtId="197" formatCode="_(* #,##0.000_);_(* \(#,##0.000\);_(* &quot;-&quot;??_);_(@_)"/>
    <numFmt numFmtId="198" formatCode="_(* #,##0.0_);_(* \(#,##0.0\);_(* &quot;-&quot;??_);_(@_)"/>
    <numFmt numFmtId="199" formatCode="0_ ;\-0\ "/>
    <numFmt numFmtId="200" formatCode="#,##0_);\(#,##0\)"/>
    <numFmt numFmtId="201" formatCode="#,##0.000"/>
    <numFmt numFmtId="202" formatCode="#,##0.0"/>
    <numFmt numFmtId="203" formatCode="_(* #,##0.000000_);_(* \(#,##0.000000\);_(* &quot;-&quot;??_);_(@_)"/>
    <numFmt numFmtId="204" formatCode="#,##0.00000"/>
    <numFmt numFmtId="205" formatCode="_-* #,##0.000000_-;\-* #,##0.000000_-;_-* &quot;-&quot;??????_-;_-@_-"/>
    <numFmt numFmtId="206" formatCode="_-[$R$-416]\ * #,##0.000_-;\-[$R$-416]\ * #,##0.000_-;_-[$R$-416]\ * &quot;-&quot;??_-;_-@_-"/>
    <numFmt numFmtId="207" formatCode="_-[$R$-416]\ * #,##0.0000_-;\-[$R$-416]\ * #,##0.0000_-;_-[$R$-416]\ * &quot;-&quot;??_-;_-@_-"/>
    <numFmt numFmtId="208" formatCode="_-[$R$-416]\ * #,##0.0000_-;\-[$R$-416]\ * #,##0.0000_-;_-[$R$-416]\ * &quot;-&quot;????_-;_-@_-"/>
    <numFmt numFmtId="209" formatCode="_-[$R$-416]\ * #,##0.0_-;\-[$R$-416]\ * #,##0.0_-;_-[$R$-416]\ * &quot;-&quot;??_-;_-@_-"/>
    <numFmt numFmtId="210" formatCode="_-[$R$-416]\ * #,##0_-;\-[$R$-416]\ * #,##0_-;_-[$R$-416]\ * &quot;-&quot;??_-;_-@_-"/>
  </numFmts>
  <fonts count="86"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9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b/>
      <sz val="8"/>
      <color indexed="8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"/>
      <family val="3"/>
    </font>
    <font>
      <sz val="9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ourier"/>
      <family val="3"/>
    </font>
    <font>
      <sz val="9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hair"/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hair"/>
    </border>
    <border>
      <left style="dotted"/>
      <right style="thin"/>
      <top style="dotted"/>
      <bottom style="hair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4" fillId="4" borderId="0" applyNumberFormat="0" applyBorder="0" applyAlignment="0" applyProtection="0"/>
    <xf numFmtId="0" fontId="62" fillId="5" borderId="0" applyNumberFormat="0" applyBorder="0" applyAlignment="0" applyProtection="0"/>
    <xf numFmtId="0" fontId="14" fillId="6" borderId="0" applyNumberFormat="0" applyBorder="0" applyAlignment="0" applyProtection="0"/>
    <xf numFmtId="0" fontId="62" fillId="7" borderId="0" applyNumberFormat="0" applyBorder="0" applyAlignment="0" applyProtection="0"/>
    <xf numFmtId="0" fontId="14" fillId="8" borderId="0" applyNumberFormat="0" applyBorder="0" applyAlignment="0" applyProtection="0"/>
    <xf numFmtId="0" fontId="62" fillId="9" borderId="0" applyNumberFormat="0" applyBorder="0" applyAlignment="0" applyProtection="0"/>
    <xf numFmtId="0" fontId="14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10" borderId="0" applyNumberFormat="0" applyBorder="0" applyAlignment="0" applyProtection="0"/>
    <xf numFmtId="0" fontId="62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14" borderId="0" applyNumberFormat="0" applyBorder="0" applyAlignment="0" applyProtection="0"/>
    <xf numFmtId="0" fontId="14" fillId="15" borderId="0" applyNumberFormat="0" applyBorder="0" applyAlignment="0" applyProtection="0"/>
    <xf numFmtId="0" fontId="62" fillId="16" borderId="0" applyNumberFormat="0" applyBorder="0" applyAlignment="0" applyProtection="0"/>
    <xf numFmtId="0" fontId="14" fillId="17" borderId="0" applyNumberFormat="0" applyBorder="0" applyAlignment="0" applyProtection="0"/>
    <xf numFmtId="0" fontId="62" fillId="18" borderId="0" applyNumberFormat="0" applyBorder="0" applyAlignment="0" applyProtection="0"/>
    <xf numFmtId="0" fontId="14" fillId="10" borderId="0" applyNumberFormat="0" applyBorder="0" applyAlignment="0" applyProtection="0"/>
    <xf numFmtId="0" fontId="62" fillId="19" borderId="0" applyNumberFormat="0" applyBorder="0" applyAlignment="0" applyProtection="0"/>
    <xf numFmtId="0" fontId="14" fillId="6" borderId="0" applyNumberFormat="0" applyBorder="0" applyAlignment="0" applyProtection="0"/>
    <xf numFmtId="0" fontId="62" fillId="20" borderId="0" applyNumberFormat="0" applyBorder="0" applyAlignment="0" applyProtection="0"/>
    <xf numFmtId="0" fontId="15" fillId="10" borderId="0" applyNumberFormat="0" applyBorder="0" applyAlignment="0" applyProtection="0"/>
    <xf numFmtId="0" fontId="63" fillId="21" borderId="0" applyNumberFormat="0" applyBorder="0" applyAlignment="0" applyProtection="0"/>
    <xf numFmtId="0" fontId="15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24" borderId="0" applyNumberFormat="0" applyBorder="0" applyAlignment="0" applyProtection="0"/>
    <xf numFmtId="0" fontId="63" fillId="25" borderId="0" applyNumberFormat="0" applyBorder="0" applyAlignment="0" applyProtection="0"/>
    <xf numFmtId="0" fontId="15" fillId="17" borderId="0" applyNumberFormat="0" applyBorder="0" applyAlignment="0" applyProtection="0"/>
    <xf numFmtId="0" fontId="63" fillId="26" borderId="0" applyNumberFormat="0" applyBorder="0" applyAlignment="0" applyProtection="0"/>
    <xf numFmtId="0" fontId="15" fillId="10" borderId="0" applyNumberFormat="0" applyBorder="0" applyAlignment="0" applyProtection="0"/>
    <xf numFmtId="0" fontId="63" fillId="27" borderId="0" applyNumberFormat="0" applyBorder="0" applyAlignment="0" applyProtection="0"/>
    <xf numFmtId="0" fontId="15" fillId="4" borderId="0" applyNumberFormat="0" applyBorder="0" applyAlignment="0" applyProtection="0"/>
    <xf numFmtId="0" fontId="63" fillId="28" borderId="0" applyNumberFormat="0" applyBorder="0" applyAlignment="0" applyProtection="0"/>
    <xf numFmtId="0" fontId="16" fillId="10" borderId="0" applyNumberFormat="0" applyBorder="0" applyAlignment="0" applyProtection="0"/>
    <xf numFmtId="0" fontId="64" fillId="29" borderId="0" applyNumberFormat="0" applyBorder="0" applyAlignment="0" applyProtection="0"/>
    <xf numFmtId="0" fontId="17" fillId="30" borderId="1" applyNumberFormat="0" applyAlignment="0" applyProtection="0"/>
    <xf numFmtId="0" fontId="65" fillId="31" borderId="2" applyNumberFormat="0" applyAlignment="0" applyProtection="0"/>
    <xf numFmtId="0" fontId="18" fillId="32" borderId="3" applyNumberFormat="0" applyAlignment="0" applyProtection="0"/>
    <xf numFmtId="0" fontId="66" fillId="33" borderId="4" applyNumberFormat="0" applyAlignment="0" applyProtection="0"/>
    <xf numFmtId="0" fontId="19" fillId="0" borderId="5" applyNumberFormat="0" applyFill="0" applyAlignment="0" applyProtection="0"/>
    <xf numFmtId="0" fontId="67" fillId="0" borderId="6" applyNumberFormat="0" applyFill="0" applyAlignment="0" applyProtection="0"/>
    <xf numFmtId="0" fontId="15" fillId="34" borderId="0" applyNumberFormat="0" applyBorder="0" applyAlignment="0" applyProtection="0"/>
    <xf numFmtId="0" fontId="63" fillId="35" borderId="0" applyNumberFormat="0" applyBorder="0" applyAlignment="0" applyProtection="0"/>
    <xf numFmtId="0" fontId="15" fillId="22" borderId="0" applyNumberFormat="0" applyBorder="0" applyAlignment="0" applyProtection="0"/>
    <xf numFmtId="0" fontId="63" fillId="36" borderId="0" applyNumberFormat="0" applyBorder="0" applyAlignment="0" applyProtection="0"/>
    <xf numFmtId="0" fontId="15" fillId="24" borderId="0" applyNumberFormat="0" applyBorder="0" applyAlignment="0" applyProtection="0"/>
    <xf numFmtId="0" fontId="63" fillId="37" borderId="0" applyNumberFormat="0" applyBorder="0" applyAlignment="0" applyProtection="0"/>
    <xf numFmtId="0" fontId="15" fillId="38" borderId="0" applyNumberFormat="0" applyBorder="0" applyAlignment="0" applyProtection="0"/>
    <xf numFmtId="0" fontId="63" fillId="39" borderId="0" applyNumberFormat="0" applyBorder="0" applyAlignment="0" applyProtection="0"/>
    <xf numFmtId="0" fontId="15" fillId="40" borderId="0" applyNumberFormat="0" applyBorder="0" applyAlignment="0" applyProtection="0"/>
    <xf numFmtId="0" fontId="63" fillId="41" borderId="0" applyNumberFormat="0" applyBorder="0" applyAlignment="0" applyProtection="0"/>
    <xf numFmtId="0" fontId="15" fillId="42" borderId="0" applyNumberFormat="0" applyBorder="0" applyAlignment="0" applyProtection="0"/>
    <xf numFmtId="0" fontId="63" fillId="43" borderId="0" applyNumberFormat="0" applyBorder="0" applyAlignment="0" applyProtection="0"/>
    <xf numFmtId="0" fontId="20" fillId="15" borderId="1" applyNumberFormat="0" applyAlignment="0" applyProtection="0"/>
    <xf numFmtId="0" fontId="68" fillId="4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45" borderId="0" applyNumberFormat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0" fillId="46" borderId="0" applyNumberFormat="0" applyBorder="0" applyAlignment="0" applyProtection="0"/>
    <xf numFmtId="0" fontId="22" fillId="15" borderId="0" applyNumberFormat="0" applyBorder="0" applyAlignment="0" applyProtection="0"/>
    <xf numFmtId="0" fontId="4" fillId="0" borderId="0">
      <alignment/>
      <protection/>
    </xf>
    <xf numFmtId="37" fontId="0" fillId="0" borderId="0">
      <alignment/>
      <protection/>
    </xf>
    <xf numFmtId="0" fontId="62" fillId="0" borderId="0">
      <alignment/>
      <protection/>
    </xf>
    <xf numFmtId="0" fontId="0" fillId="6" borderId="7" applyNumberFormat="0" applyFont="0" applyAlignment="0" applyProtection="0"/>
    <xf numFmtId="0" fontId="62" fillId="47" borderId="8" applyNumberFormat="0" applyFont="0" applyAlignment="0" applyProtection="0"/>
    <xf numFmtId="9" fontId="4" fillId="0" borderId="0" applyFont="0" applyFill="0" applyBorder="0" applyAlignment="0" applyProtection="0"/>
    <xf numFmtId="0" fontId="21" fillId="48" borderId="0" applyNumberFormat="0" applyBorder="0" applyAlignment="0" applyProtection="0"/>
    <xf numFmtId="0" fontId="23" fillId="30" borderId="9" applyNumberFormat="0" applyAlignment="0" applyProtection="0"/>
    <xf numFmtId="0" fontId="71" fillId="31" borderId="10" applyNumberFormat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74" fillId="0" borderId="12" applyNumberFormat="0" applyFill="0" applyAlignment="0" applyProtection="0"/>
    <xf numFmtId="0" fontId="27" fillId="0" borderId="13" applyNumberFormat="0" applyFill="0" applyAlignment="0" applyProtection="0"/>
    <xf numFmtId="0" fontId="75" fillId="0" borderId="14" applyNumberFormat="0" applyFill="0" applyAlignment="0" applyProtection="0"/>
    <xf numFmtId="0" fontId="28" fillId="0" borderId="15" applyNumberFormat="0" applyFill="0" applyAlignment="0" applyProtection="0"/>
    <xf numFmtId="0" fontId="7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78" fillId="0" borderId="1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5">
    <xf numFmtId="37" fontId="0" fillId="0" borderId="0" xfId="0" applyAlignment="1">
      <alignment/>
    </xf>
    <xf numFmtId="37" fontId="7" fillId="0" borderId="0" xfId="0" applyFont="1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 horizontal="center"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10" fillId="0" borderId="0" xfId="0" applyFont="1" applyAlignment="1">
      <alignment/>
    </xf>
    <xf numFmtId="39" fontId="0" fillId="0" borderId="0" xfId="0" applyNumberFormat="1" applyAlignment="1">
      <alignment/>
    </xf>
    <xf numFmtId="37" fontId="30" fillId="0" borderId="0" xfId="0" applyFont="1" applyAlignment="1">
      <alignment vertical="center"/>
    </xf>
    <xf numFmtId="37" fontId="31" fillId="0" borderId="0" xfId="0" applyFont="1" applyAlignment="1">
      <alignment vertical="center"/>
    </xf>
    <xf numFmtId="169" fontId="11" fillId="0" borderId="19" xfId="106" applyNumberFormat="1" applyFont="1" applyBorder="1" applyAlignment="1">
      <alignment horizontal="right" vertical="center"/>
    </xf>
    <xf numFmtId="169" fontId="11" fillId="0" borderId="20" xfId="106" applyNumberFormat="1" applyFont="1" applyBorder="1" applyAlignment="1">
      <alignment horizontal="right" vertical="center"/>
    </xf>
    <xf numFmtId="169" fontId="11" fillId="0" borderId="21" xfId="106" applyNumberFormat="1" applyFont="1" applyBorder="1" applyAlignment="1">
      <alignment horizontal="right" vertical="center"/>
    </xf>
    <xf numFmtId="169" fontId="11" fillId="0" borderId="22" xfId="106" applyNumberFormat="1" applyFont="1" applyBorder="1" applyAlignment="1">
      <alignment horizontal="right" vertical="center"/>
    </xf>
    <xf numFmtId="39" fontId="30" fillId="0" borderId="23" xfId="0" applyNumberFormat="1" applyFont="1" applyBorder="1" applyAlignment="1">
      <alignment horizontal="center" vertical="center"/>
    </xf>
    <xf numFmtId="39" fontId="30" fillId="0" borderId="24" xfId="0" applyNumberFormat="1" applyFont="1" applyBorder="1" applyAlignment="1">
      <alignment horizontal="center" vertical="center"/>
    </xf>
    <xf numFmtId="39" fontId="30" fillId="0" borderId="25" xfId="0" applyNumberFormat="1" applyFont="1" applyBorder="1" applyAlignment="1">
      <alignment horizontal="center" vertical="center"/>
    </xf>
    <xf numFmtId="169" fontId="11" fillId="0" borderId="26" xfId="106" applyNumberFormat="1" applyFont="1" applyBorder="1" applyAlignment="1">
      <alignment horizontal="right" vertical="center"/>
    </xf>
    <xf numFmtId="17" fontId="11" fillId="0" borderId="27" xfId="0" applyNumberFormat="1" applyFont="1" applyBorder="1" applyAlignment="1">
      <alignment horizontal="left" vertical="center" indent="1"/>
    </xf>
    <xf numFmtId="39" fontId="30" fillId="0" borderId="28" xfId="0" applyNumberFormat="1" applyFont="1" applyBorder="1" applyAlignment="1">
      <alignment horizontal="center" vertical="center"/>
    </xf>
    <xf numFmtId="169" fontId="11" fillId="0" borderId="29" xfId="106" applyNumberFormat="1" applyFont="1" applyBorder="1" applyAlignment="1">
      <alignment horizontal="right" vertical="center"/>
    </xf>
    <xf numFmtId="169" fontId="11" fillId="0" borderId="30" xfId="106" applyNumberFormat="1" applyFont="1" applyBorder="1" applyAlignment="1">
      <alignment horizontal="right" vertical="center"/>
    </xf>
    <xf numFmtId="169" fontId="11" fillId="0" borderId="31" xfId="106" applyNumberFormat="1" applyFont="1" applyBorder="1" applyAlignment="1">
      <alignment horizontal="right" vertical="center"/>
    </xf>
    <xf numFmtId="39" fontId="30" fillId="0" borderId="32" xfId="0" applyNumberFormat="1" applyFont="1" applyBorder="1" applyAlignment="1">
      <alignment horizontal="center" vertical="center"/>
    </xf>
    <xf numFmtId="37" fontId="11" fillId="0" borderId="0" xfId="0" applyFont="1" applyAlignment="1">
      <alignment horizontal="left" vertical="center" indent="1"/>
    </xf>
    <xf numFmtId="169" fontId="11" fillId="0" borderId="0" xfId="0" applyNumberFormat="1" applyFont="1" applyAlignment="1">
      <alignment horizontal="center" vertical="center"/>
    </xf>
    <xf numFmtId="169" fontId="11" fillId="0" borderId="23" xfId="106" applyNumberFormat="1" applyFont="1" applyBorder="1" applyAlignment="1">
      <alignment horizontal="right" vertical="center"/>
    </xf>
    <xf numFmtId="37" fontId="32" fillId="0" borderId="33" xfId="0" applyFont="1" applyBorder="1" applyAlignment="1">
      <alignment vertical="center"/>
    </xf>
    <xf numFmtId="37" fontId="32" fillId="0" borderId="27" xfId="0" applyFont="1" applyBorder="1" applyAlignment="1">
      <alignment vertical="center"/>
    </xf>
    <xf numFmtId="37" fontId="32" fillId="0" borderId="32" xfId="0" applyFont="1" applyBorder="1" applyAlignment="1">
      <alignment vertical="center"/>
    </xf>
    <xf numFmtId="169" fontId="30" fillId="0" borderId="34" xfId="0" applyNumberFormat="1" applyFont="1" applyBorder="1" applyAlignment="1">
      <alignment horizontal="center" vertical="center"/>
    </xf>
    <xf numFmtId="169" fontId="30" fillId="0" borderId="35" xfId="0" applyNumberFormat="1" applyFont="1" applyBorder="1" applyAlignment="1">
      <alignment horizontal="center" vertical="center"/>
    </xf>
    <xf numFmtId="169" fontId="30" fillId="0" borderId="36" xfId="0" applyNumberFormat="1" applyFont="1" applyBorder="1" applyAlignment="1">
      <alignment horizontal="center" vertical="center"/>
    </xf>
    <xf numFmtId="169" fontId="30" fillId="0" borderId="19" xfId="0" applyNumberFormat="1" applyFont="1" applyBorder="1" applyAlignment="1">
      <alignment horizontal="center" vertical="center"/>
    </xf>
    <xf numFmtId="169" fontId="30" fillId="0" borderId="20" xfId="0" applyNumberFormat="1" applyFont="1" applyBorder="1" applyAlignment="1">
      <alignment horizontal="center" vertical="center"/>
    </xf>
    <xf numFmtId="169" fontId="30" fillId="0" borderId="30" xfId="0" applyNumberFormat="1" applyFont="1" applyBorder="1" applyAlignment="1">
      <alignment horizontal="center" vertical="center"/>
    </xf>
    <xf numFmtId="37" fontId="30" fillId="0" borderId="0" xfId="0" applyFont="1" applyAlignment="1">
      <alignment/>
    </xf>
    <xf numFmtId="165" fontId="30" fillId="0" borderId="20" xfId="106" applyFont="1" applyBorder="1" applyAlignment="1">
      <alignment horizontal="right" vertical="center"/>
    </xf>
    <xf numFmtId="37" fontId="30" fillId="0" borderId="37" xfId="0" applyFont="1" applyBorder="1" applyAlignment="1">
      <alignment horizontal="center" vertical="center" wrapText="1"/>
    </xf>
    <xf numFmtId="37" fontId="30" fillId="0" borderId="38" xfId="0" applyFont="1" applyBorder="1" applyAlignment="1">
      <alignment horizontal="center" vertical="center" wrapText="1"/>
    </xf>
    <xf numFmtId="37" fontId="30" fillId="0" borderId="39" xfId="0" applyFont="1" applyBorder="1" applyAlignment="1">
      <alignment horizontal="center" vertical="center" wrapText="1"/>
    </xf>
    <xf numFmtId="37" fontId="30" fillId="0" borderId="38" xfId="0" applyFont="1" applyBorder="1" applyAlignment="1">
      <alignment horizontal="center" vertical="center"/>
    </xf>
    <xf numFmtId="37" fontId="30" fillId="0" borderId="39" xfId="0" applyFont="1" applyBorder="1" applyAlignment="1">
      <alignment horizontal="center" vertical="center"/>
    </xf>
    <xf numFmtId="165" fontId="30" fillId="0" borderId="0" xfId="106" applyFont="1" applyAlignment="1">
      <alignment horizontal="left" vertical="center"/>
    </xf>
    <xf numFmtId="165" fontId="30" fillId="0" borderId="0" xfId="106" applyFont="1" applyAlignment="1">
      <alignment horizontal="right" vertical="center"/>
    </xf>
    <xf numFmtId="165" fontId="33" fillId="0" borderId="0" xfId="106" applyFont="1" applyAlignment="1">
      <alignment horizontal="right" vertical="center"/>
    </xf>
    <xf numFmtId="37" fontId="30" fillId="0" borderId="22" xfId="0" applyFont="1" applyBorder="1" applyAlignment="1">
      <alignment horizontal="right" vertical="center" indent="1"/>
    </xf>
    <xf numFmtId="37" fontId="33" fillId="0" borderId="29" xfId="0" applyFont="1" applyBorder="1" applyAlignment="1">
      <alignment horizontal="right" vertical="center" indent="1"/>
    </xf>
    <xf numFmtId="37" fontId="30" fillId="0" borderId="20" xfId="0" applyFont="1" applyBorder="1" applyAlignment="1">
      <alignment horizontal="right" vertical="center" indent="1"/>
    </xf>
    <xf numFmtId="37" fontId="33" fillId="0" borderId="40" xfId="0" applyFont="1" applyBorder="1" applyAlignment="1">
      <alignment horizontal="right" vertical="center" indent="1"/>
    </xf>
    <xf numFmtId="37" fontId="33" fillId="0" borderId="41" xfId="0" applyFont="1" applyBorder="1" applyAlignment="1">
      <alignment horizontal="right" vertical="center" indent="1"/>
    </xf>
    <xf numFmtId="37" fontId="33" fillId="0" borderId="0" xfId="0" applyFont="1" applyAlignment="1">
      <alignment horizontal="right" vertical="center" indent="1"/>
    </xf>
    <xf numFmtId="37" fontId="30" fillId="0" borderId="42" xfId="0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37" fontId="30" fillId="0" borderId="37" xfId="0" applyFont="1" applyBorder="1" applyAlignment="1">
      <alignment horizontal="center" vertical="center"/>
    </xf>
    <xf numFmtId="37" fontId="30" fillId="0" borderId="21" xfId="0" applyFont="1" applyBorder="1" applyAlignment="1">
      <alignment horizontal="right" vertical="center" indent="1"/>
    </xf>
    <xf numFmtId="37" fontId="30" fillId="0" borderId="19" xfId="0" applyFont="1" applyBorder="1" applyAlignment="1">
      <alignment horizontal="right" vertical="center" indent="1"/>
    </xf>
    <xf numFmtId="37" fontId="33" fillId="0" borderId="44" xfId="0" applyFont="1" applyBorder="1" applyAlignment="1">
      <alignment horizontal="right" vertical="center" indent="1"/>
    </xf>
    <xf numFmtId="37" fontId="30" fillId="0" borderId="0" xfId="0" applyFont="1" applyAlignment="1">
      <alignment horizontal="center" vertical="center"/>
    </xf>
    <xf numFmtId="39" fontId="30" fillId="0" borderId="0" xfId="0" applyNumberFormat="1" applyFont="1" applyAlignment="1">
      <alignment vertical="center"/>
    </xf>
    <xf numFmtId="37" fontId="11" fillId="0" borderId="20" xfId="0" applyFont="1" applyBorder="1" applyAlignment="1">
      <alignment horizontal="center" vertical="center"/>
    </xf>
    <xf numFmtId="37" fontId="11" fillId="8" borderId="45" xfId="0" applyFont="1" applyFill="1" applyBorder="1" applyAlignment="1">
      <alignment horizontal="center" vertical="center"/>
    </xf>
    <xf numFmtId="37" fontId="11" fillId="8" borderId="46" xfId="0" applyFont="1" applyFill="1" applyBorder="1" applyAlignment="1">
      <alignment horizontal="center" vertical="center"/>
    </xf>
    <xf numFmtId="37" fontId="11" fillId="8" borderId="47" xfId="0" applyFont="1" applyFill="1" applyBorder="1" applyAlignment="1">
      <alignment horizontal="center" vertical="center"/>
    </xf>
    <xf numFmtId="37" fontId="11" fillId="8" borderId="48" xfId="0" applyFont="1" applyFill="1" applyBorder="1" applyAlignment="1">
      <alignment horizontal="center" vertical="center"/>
    </xf>
    <xf numFmtId="37" fontId="11" fillId="0" borderId="49" xfId="0" applyFont="1" applyBorder="1" applyAlignment="1">
      <alignment horizontal="center" vertical="center"/>
    </xf>
    <xf numFmtId="37" fontId="11" fillId="8" borderId="50" xfId="0" applyFont="1" applyFill="1" applyBorder="1" applyAlignment="1">
      <alignment horizontal="center" vertical="center"/>
    </xf>
    <xf numFmtId="165" fontId="34" fillId="0" borderId="0" xfId="106" applyFont="1" applyAlignment="1">
      <alignment vertical="center"/>
    </xf>
    <xf numFmtId="4" fontId="11" fillId="0" borderId="29" xfId="106" applyNumberFormat="1" applyFont="1" applyBorder="1" applyAlignment="1">
      <alignment horizontal="right" vertical="center"/>
    </xf>
    <xf numFmtId="37" fontId="11" fillId="0" borderId="0" xfId="0" applyFont="1" applyAlignment="1">
      <alignment vertical="center"/>
    </xf>
    <xf numFmtId="4" fontId="11" fillId="0" borderId="30" xfId="106" applyNumberFormat="1" applyFont="1" applyBorder="1" applyAlignment="1">
      <alignment horizontal="right" vertical="center"/>
    </xf>
    <xf numFmtId="4" fontId="11" fillId="0" borderId="28" xfId="106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168" fontId="11" fillId="0" borderId="0" xfId="0" applyNumberFormat="1" applyFont="1" applyAlignment="1">
      <alignment vertical="center"/>
    </xf>
    <xf numFmtId="37" fontId="0" fillId="0" borderId="52" xfId="0" applyBorder="1" applyAlignment="1">
      <alignment/>
    </xf>
    <xf numFmtId="37" fontId="0" fillId="0" borderId="53" xfId="0" applyBorder="1" applyAlignment="1">
      <alignment/>
    </xf>
    <xf numFmtId="37" fontId="0" fillId="0" borderId="54" xfId="0" applyBorder="1" applyAlignment="1">
      <alignment/>
    </xf>
    <xf numFmtId="37" fontId="0" fillId="0" borderId="42" xfId="0" applyBorder="1" applyAlignment="1">
      <alignment/>
    </xf>
    <xf numFmtId="37" fontId="0" fillId="0" borderId="55" xfId="0" applyBorder="1" applyAlignment="1">
      <alignment/>
    </xf>
    <xf numFmtId="0" fontId="30" fillId="6" borderId="56" xfId="0" applyNumberFormat="1" applyFont="1" applyFill="1" applyBorder="1" applyAlignment="1">
      <alignment horizontal="center" vertical="center"/>
    </xf>
    <xf numFmtId="39" fontId="11" fillId="6" borderId="57" xfId="0" applyNumberFormat="1" applyFont="1" applyFill="1" applyBorder="1" applyAlignment="1">
      <alignment horizontal="right" vertical="center" indent="1"/>
    </xf>
    <xf numFmtId="37" fontId="30" fillId="15" borderId="56" xfId="0" applyFont="1" applyFill="1" applyBorder="1" applyAlignment="1">
      <alignment horizontal="center" vertical="center"/>
    </xf>
    <xf numFmtId="37" fontId="33" fillId="15" borderId="57" xfId="0" applyFont="1" applyFill="1" applyBorder="1" applyAlignment="1">
      <alignment horizontal="right" vertical="center" indent="1"/>
    </xf>
    <xf numFmtId="37" fontId="33" fillId="15" borderId="58" xfId="0" applyFont="1" applyFill="1" applyBorder="1" applyAlignment="1">
      <alignment horizontal="right" vertical="center" indent="1"/>
    </xf>
    <xf numFmtId="37" fontId="33" fillId="15" borderId="59" xfId="0" applyFont="1" applyFill="1" applyBorder="1" applyAlignment="1">
      <alignment horizontal="right" vertical="center" indent="1"/>
    </xf>
    <xf numFmtId="37" fontId="11" fillId="0" borderId="0" xfId="0" applyFont="1" applyAlignment="1">
      <alignment/>
    </xf>
    <xf numFmtId="37" fontId="31" fillId="0" borderId="0" xfId="0" applyFont="1" applyAlignment="1">
      <alignment/>
    </xf>
    <xf numFmtId="176" fontId="31" fillId="0" borderId="0" xfId="0" applyNumberFormat="1" applyFont="1" applyAlignment="1">
      <alignment/>
    </xf>
    <xf numFmtId="39" fontId="31" fillId="0" borderId="0" xfId="0" applyNumberFormat="1" applyFont="1" applyAlignment="1">
      <alignment/>
    </xf>
    <xf numFmtId="37" fontId="31" fillId="0" borderId="0" xfId="0" applyFont="1" applyAlignment="1">
      <alignment horizontal="center" vertical="center"/>
    </xf>
    <xf numFmtId="37" fontId="35" fillId="0" borderId="0" xfId="0" applyFont="1" applyAlignment="1">
      <alignment horizontal="center" vertical="center"/>
    </xf>
    <xf numFmtId="171" fontId="11" fillId="0" borderId="27" xfId="0" applyNumberFormat="1" applyFont="1" applyBorder="1" applyAlignment="1">
      <alignment horizontal="center" vertical="center"/>
    </xf>
    <xf numFmtId="171" fontId="11" fillId="0" borderId="60" xfId="0" applyNumberFormat="1" applyFont="1" applyBorder="1" applyAlignment="1">
      <alignment horizontal="center" vertical="center"/>
    </xf>
    <xf numFmtId="171" fontId="11" fillId="0" borderId="61" xfId="0" applyNumberFormat="1" applyFont="1" applyBorder="1" applyAlignment="1">
      <alignment horizontal="center" vertical="center"/>
    </xf>
    <xf numFmtId="171" fontId="11" fillId="0" borderId="30" xfId="0" applyNumberFormat="1" applyFont="1" applyBorder="1" applyAlignment="1">
      <alignment horizontal="center" vertical="center"/>
    </xf>
    <xf numFmtId="171" fontId="11" fillId="0" borderId="27" xfId="106" applyNumberFormat="1" applyFont="1" applyBorder="1" applyAlignment="1">
      <alignment horizontal="center" vertical="center"/>
    </xf>
    <xf numFmtId="171" fontId="11" fillId="0" borderId="19" xfId="106" applyNumberFormat="1" applyFont="1" applyBorder="1" applyAlignment="1">
      <alignment horizontal="center" vertical="center"/>
    </xf>
    <xf numFmtId="171" fontId="11" fillId="0" borderId="21" xfId="106" applyNumberFormat="1" applyFont="1" applyBorder="1" applyAlignment="1">
      <alignment horizontal="center" vertical="center"/>
    </xf>
    <xf numFmtId="37" fontId="11" fillId="0" borderId="62" xfId="0" applyFont="1" applyBorder="1" applyAlignment="1">
      <alignment horizontal="left" vertical="center" indent="1"/>
    </xf>
    <xf numFmtId="37" fontId="36" fillId="0" borderId="43" xfId="0" applyFont="1" applyBorder="1" applyAlignment="1">
      <alignment horizontal="left" vertical="center" indent="1"/>
    </xf>
    <xf numFmtId="37" fontId="36" fillId="0" borderId="63" xfId="0" applyFont="1" applyBorder="1" applyAlignment="1">
      <alignment horizontal="left" vertical="center" indent="1"/>
    </xf>
    <xf numFmtId="37" fontId="36" fillId="0" borderId="63" xfId="0" applyFont="1" applyBorder="1" applyAlignment="1" quotePrefix="1">
      <alignment horizontal="left" vertical="center" indent="1"/>
    </xf>
    <xf numFmtId="37" fontId="37" fillId="15" borderId="64" xfId="0" applyFont="1" applyFill="1" applyBorder="1" applyAlignment="1">
      <alignment horizontal="left" vertical="center" indent="1"/>
    </xf>
    <xf numFmtId="174" fontId="31" fillId="0" borderId="0" xfId="0" applyNumberFormat="1" applyFont="1" applyAlignment="1">
      <alignment/>
    </xf>
    <xf numFmtId="37" fontId="11" fillId="0" borderId="65" xfId="0" applyFont="1" applyBorder="1" applyAlignment="1">
      <alignment horizontal="center" vertical="center"/>
    </xf>
    <xf numFmtId="37" fontId="11" fillId="0" borderId="31" xfId="0" applyFont="1" applyBorder="1" applyAlignment="1">
      <alignment horizontal="center" vertical="center"/>
    </xf>
    <xf numFmtId="37" fontId="36" fillId="0" borderId="66" xfId="0" applyFont="1" applyBorder="1" applyAlignment="1">
      <alignment horizontal="left" vertical="center" indent="1"/>
    </xf>
    <xf numFmtId="171" fontId="11" fillId="0" borderId="65" xfId="0" applyNumberFormat="1" applyFont="1" applyBorder="1" applyAlignment="1">
      <alignment horizontal="center" vertical="center"/>
    </xf>
    <xf numFmtId="37" fontId="30" fillId="0" borderId="67" xfId="0" applyFont="1" applyBorder="1" applyAlignment="1">
      <alignment vertical="center"/>
    </xf>
    <xf numFmtId="37" fontId="30" fillId="0" borderId="27" xfId="0" applyFont="1" applyBorder="1" applyAlignment="1">
      <alignment vertical="center"/>
    </xf>
    <xf numFmtId="37" fontId="30" fillId="0" borderId="68" xfId="0" applyFont="1" applyBorder="1" applyAlignment="1">
      <alignment vertical="center"/>
    </xf>
    <xf numFmtId="171" fontId="11" fillId="0" borderId="67" xfId="0" applyNumberFormat="1" applyFont="1" applyBorder="1" applyAlignment="1">
      <alignment horizontal="center" vertical="center"/>
    </xf>
    <xf numFmtId="37" fontId="36" fillId="0" borderId="66" xfId="0" applyFont="1" applyBorder="1" applyAlignment="1" quotePrefix="1">
      <alignment horizontal="left" vertical="center" indent="1"/>
    </xf>
    <xf numFmtId="171" fontId="30" fillId="0" borderId="22" xfId="0" applyNumberFormat="1" applyFont="1" applyBorder="1" applyAlignment="1">
      <alignment horizontal="center" vertical="center"/>
    </xf>
    <xf numFmtId="37" fontId="30" fillId="0" borderId="26" xfId="0" applyFont="1" applyBorder="1" applyAlignment="1">
      <alignment horizontal="center" vertical="center"/>
    </xf>
    <xf numFmtId="165" fontId="30" fillId="0" borderId="20" xfId="106" applyFont="1" applyBorder="1" applyAlignment="1">
      <alignment horizontal="center" vertical="center"/>
    </xf>
    <xf numFmtId="165" fontId="30" fillId="0" borderId="26" xfId="106" applyFont="1" applyBorder="1" applyAlignment="1">
      <alignment horizontal="center" vertical="center"/>
    </xf>
    <xf numFmtId="171" fontId="32" fillId="0" borderId="21" xfId="0" applyNumberFormat="1" applyFont="1" applyBorder="1" applyAlignment="1">
      <alignment vertical="center"/>
    </xf>
    <xf numFmtId="171" fontId="32" fillId="0" borderId="67" xfId="0" applyNumberFormat="1" applyFont="1" applyBorder="1" applyAlignment="1">
      <alignment horizontal="center" vertical="center"/>
    </xf>
    <xf numFmtId="171" fontId="32" fillId="0" borderId="21" xfId="0" applyNumberFormat="1" applyFont="1" applyBorder="1" applyAlignment="1">
      <alignment horizontal="center" vertical="center"/>
    </xf>
    <xf numFmtId="10" fontId="30" fillId="0" borderId="20" xfId="85" applyNumberFormat="1" applyFont="1" applyBorder="1" applyAlignment="1">
      <alignment horizontal="center" vertical="center"/>
    </xf>
    <xf numFmtId="10" fontId="30" fillId="0" borderId="30" xfId="85" applyNumberFormat="1" applyFont="1" applyBorder="1" applyAlignment="1">
      <alignment horizontal="center" vertical="center"/>
    </xf>
    <xf numFmtId="171" fontId="32" fillId="0" borderId="19" xfId="0" applyNumberFormat="1" applyFont="1" applyBorder="1" applyAlignment="1">
      <alignment horizontal="center" vertical="center"/>
    </xf>
    <xf numFmtId="175" fontId="32" fillId="0" borderId="19" xfId="0" applyNumberFormat="1" applyFont="1" applyBorder="1" applyAlignment="1">
      <alignment horizontal="center" vertical="center"/>
    </xf>
    <xf numFmtId="37" fontId="32" fillId="0" borderId="69" xfId="0" applyFont="1" applyBorder="1" applyAlignment="1">
      <alignment horizontal="center" vertical="center"/>
    </xf>
    <xf numFmtId="171" fontId="32" fillId="0" borderId="27" xfId="0" applyNumberFormat="1" applyFont="1" applyBorder="1" applyAlignment="1">
      <alignment horizontal="center" vertical="center"/>
    </xf>
    <xf numFmtId="37" fontId="32" fillId="0" borderId="68" xfId="0" applyFont="1" applyBorder="1" applyAlignment="1">
      <alignment horizontal="center" vertical="center"/>
    </xf>
    <xf numFmtId="175" fontId="32" fillId="0" borderId="69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right" vertical="center"/>
    </xf>
    <xf numFmtId="171" fontId="32" fillId="0" borderId="19" xfId="106" applyNumberFormat="1" applyFont="1" applyBorder="1" applyAlignment="1">
      <alignment horizontal="center" vertical="center"/>
    </xf>
    <xf numFmtId="165" fontId="30" fillId="0" borderId="22" xfId="106" applyFont="1" applyBorder="1" applyAlignment="1">
      <alignment horizontal="center" vertical="center"/>
    </xf>
    <xf numFmtId="172" fontId="30" fillId="0" borderId="20" xfId="106" applyNumberFormat="1" applyFont="1" applyBorder="1" applyAlignment="1">
      <alignment horizontal="center" vertical="center"/>
    </xf>
    <xf numFmtId="165" fontId="30" fillId="0" borderId="22" xfId="106" applyFont="1" applyBorder="1" applyAlignment="1">
      <alignment horizontal="right" vertical="center"/>
    </xf>
    <xf numFmtId="171" fontId="30" fillId="0" borderId="20" xfId="106" applyNumberFormat="1" applyFont="1" applyBorder="1" applyAlignment="1">
      <alignment horizontal="right" vertical="center"/>
    </xf>
    <xf numFmtId="171" fontId="11" fillId="0" borderId="60" xfId="0" applyNumberFormat="1" applyFont="1" applyBorder="1" applyAlignment="1">
      <alignment horizontal="right" vertical="center"/>
    </xf>
    <xf numFmtId="171" fontId="11" fillId="0" borderId="61" xfId="0" applyNumberFormat="1" applyFont="1" applyBorder="1" applyAlignment="1">
      <alignment horizontal="right" vertical="center"/>
    </xf>
    <xf numFmtId="172" fontId="11" fillId="0" borderId="61" xfId="0" applyNumberFormat="1" applyFont="1" applyBorder="1" applyAlignment="1">
      <alignment horizontal="right" vertical="center"/>
    </xf>
    <xf numFmtId="171" fontId="11" fillId="0" borderId="61" xfId="106" applyNumberFormat="1" applyFont="1" applyBorder="1" applyAlignment="1">
      <alignment horizontal="right" vertical="center"/>
    </xf>
    <xf numFmtId="171" fontId="11" fillId="0" borderId="30" xfId="0" applyNumberFormat="1" applyFont="1" applyBorder="1" applyAlignment="1">
      <alignment horizontal="right" vertical="center"/>
    </xf>
    <xf numFmtId="172" fontId="11" fillId="0" borderId="30" xfId="0" applyNumberFormat="1" applyFont="1" applyBorder="1" applyAlignment="1">
      <alignment horizontal="right" vertical="center"/>
    </xf>
    <xf numFmtId="2" fontId="30" fillId="0" borderId="20" xfId="0" applyNumberFormat="1" applyFont="1" applyBorder="1" applyAlignment="1">
      <alignment vertical="center"/>
    </xf>
    <xf numFmtId="37" fontId="38" fillId="6" borderId="70" xfId="0" applyFont="1" applyFill="1" applyBorder="1" applyAlignment="1">
      <alignment horizontal="left" vertical="center" indent="1"/>
    </xf>
    <xf numFmtId="37" fontId="30" fillId="6" borderId="69" xfId="0" applyFont="1" applyFill="1" applyBorder="1" applyAlignment="1">
      <alignment horizontal="center" vertical="center"/>
    </xf>
    <xf numFmtId="37" fontId="30" fillId="6" borderId="26" xfId="0" applyFont="1" applyFill="1" applyBorder="1" applyAlignment="1">
      <alignment horizontal="center" vertical="center"/>
    </xf>
    <xf numFmtId="37" fontId="30" fillId="6" borderId="31" xfId="0" applyFont="1" applyFill="1" applyBorder="1" applyAlignment="1">
      <alignment horizontal="center" vertical="center"/>
    </xf>
    <xf numFmtId="37" fontId="30" fillId="6" borderId="65" xfId="0" applyFont="1" applyFill="1" applyBorder="1" applyAlignment="1">
      <alignment horizontal="center" vertical="center"/>
    </xf>
    <xf numFmtId="37" fontId="30" fillId="6" borderId="68" xfId="0" applyFont="1" applyFill="1" applyBorder="1" applyAlignment="1">
      <alignment horizontal="center" vertical="center"/>
    </xf>
    <xf numFmtId="37" fontId="31" fillId="6" borderId="42" xfId="0" applyFont="1" applyFill="1" applyBorder="1" applyAlignment="1">
      <alignment horizontal="left" vertical="center" indent="1"/>
    </xf>
    <xf numFmtId="170" fontId="38" fillId="6" borderId="37" xfId="0" applyNumberFormat="1" applyFont="1" applyFill="1" applyBorder="1" applyAlignment="1">
      <alignment horizontal="center" vertical="center"/>
    </xf>
    <xf numFmtId="170" fontId="38" fillId="6" borderId="38" xfId="0" applyNumberFormat="1" applyFont="1" applyFill="1" applyBorder="1" applyAlignment="1">
      <alignment horizontal="center" vertical="center"/>
    </xf>
    <xf numFmtId="170" fontId="38" fillId="6" borderId="71" xfId="0" applyNumberFormat="1" applyFont="1" applyFill="1" applyBorder="1" applyAlignment="1">
      <alignment horizontal="center" vertical="center"/>
    </xf>
    <xf numFmtId="37" fontId="31" fillId="6" borderId="72" xfId="0" applyFont="1" applyFill="1" applyBorder="1" applyAlignment="1">
      <alignment horizontal="center" vertical="center"/>
    </xf>
    <xf numFmtId="37" fontId="31" fillId="6" borderId="38" xfId="0" applyFont="1" applyFill="1" applyBorder="1" applyAlignment="1">
      <alignment horizontal="center" vertical="center"/>
    </xf>
    <xf numFmtId="170" fontId="38" fillId="6" borderId="39" xfId="0" applyNumberFormat="1" applyFont="1" applyFill="1" applyBorder="1" applyAlignment="1">
      <alignment horizontal="center" vertical="center"/>
    </xf>
    <xf numFmtId="37" fontId="31" fillId="6" borderId="37" xfId="0" applyFont="1" applyFill="1" applyBorder="1" applyAlignment="1">
      <alignment horizontal="center" vertical="center"/>
    </xf>
    <xf numFmtId="171" fontId="31" fillId="6" borderId="72" xfId="0" applyNumberFormat="1" applyFont="1" applyFill="1" applyBorder="1" applyAlignment="1">
      <alignment horizontal="center" vertical="center"/>
    </xf>
    <xf numFmtId="165" fontId="11" fillId="0" borderId="61" xfId="0" applyNumberFormat="1" applyFont="1" applyBorder="1" applyAlignment="1">
      <alignment horizontal="right" vertical="center"/>
    </xf>
    <xf numFmtId="171" fontId="11" fillId="0" borderId="68" xfId="0" applyNumberFormat="1" applyFont="1" applyBorder="1" applyAlignment="1">
      <alignment horizontal="center" vertical="center"/>
    </xf>
    <xf numFmtId="165" fontId="30" fillId="0" borderId="30" xfId="106" applyFont="1" applyBorder="1" applyAlignment="1">
      <alignment horizontal="right" vertical="center"/>
    </xf>
    <xf numFmtId="171" fontId="11" fillId="0" borderId="60" xfId="106" applyNumberFormat="1" applyFont="1" applyBorder="1" applyAlignment="1">
      <alignment horizontal="right" vertical="center"/>
    </xf>
    <xf numFmtId="37" fontId="34" fillId="0" borderId="0" xfId="0" applyFont="1" applyAlignment="1">
      <alignment/>
    </xf>
    <xf numFmtId="170" fontId="34" fillId="6" borderId="37" xfId="0" applyNumberFormat="1" applyFont="1" applyFill="1" applyBorder="1" applyAlignment="1">
      <alignment horizontal="center" vertical="center"/>
    </xf>
    <xf numFmtId="170" fontId="34" fillId="6" borderId="38" xfId="0" applyNumberFormat="1" applyFont="1" applyFill="1" applyBorder="1" applyAlignment="1">
      <alignment horizontal="center" vertical="center"/>
    </xf>
    <xf numFmtId="170" fontId="34" fillId="6" borderId="71" xfId="0" applyNumberFormat="1" applyFont="1" applyFill="1" applyBorder="1" applyAlignment="1">
      <alignment horizontal="center" vertical="center"/>
    </xf>
    <xf numFmtId="170" fontId="34" fillId="6" borderId="39" xfId="0" applyNumberFormat="1" applyFont="1" applyFill="1" applyBorder="1" applyAlignment="1">
      <alignment horizontal="center" vertical="center"/>
    </xf>
    <xf numFmtId="37" fontId="34" fillId="6" borderId="42" xfId="0" applyFont="1" applyFill="1" applyBorder="1" applyAlignment="1">
      <alignment horizontal="left" vertical="center" indent="1"/>
    </xf>
    <xf numFmtId="37" fontId="34" fillId="6" borderId="72" xfId="0" applyFont="1" applyFill="1" applyBorder="1" applyAlignment="1">
      <alignment horizontal="center" vertical="center"/>
    </xf>
    <xf numFmtId="37" fontId="34" fillId="6" borderId="38" xfId="0" applyFont="1" applyFill="1" applyBorder="1" applyAlignment="1">
      <alignment horizontal="center" vertical="center"/>
    </xf>
    <xf numFmtId="37" fontId="34" fillId="6" borderId="37" xfId="0" applyFont="1" applyFill="1" applyBorder="1" applyAlignment="1">
      <alignment horizontal="center" vertical="center"/>
    </xf>
    <xf numFmtId="171" fontId="34" fillId="6" borderId="72" xfId="0" applyNumberFormat="1" applyFont="1" applyFill="1" applyBorder="1" applyAlignment="1">
      <alignment horizontal="center" vertical="center"/>
    </xf>
    <xf numFmtId="37" fontId="34" fillId="6" borderId="0" xfId="0" applyFont="1" applyFill="1" applyAlignment="1">
      <alignment horizontal="left" vertical="center" indent="1"/>
    </xf>
    <xf numFmtId="170" fontId="34" fillId="6" borderId="44" xfId="0" applyNumberFormat="1" applyFont="1" applyFill="1" applyBorder="1" applyAlignment="1">
      <alignment horizontal="center" vertical="center"/>
    </xf>
    <xf numFmtId="170" fontId="34" fillId="6" borderId="40" xfId="0" applyNumberFormat="1" applyFont="1" applyFill="1" applyBorder="1" applyAlignment="1">
      <alignment horizontal="center" vertical="center"/>
    </xf>
    <xf numFmtId="170" fontId="34" fillId="6" borderId="73" xfId="0" applyNumberFormat="1" applyFont="1" applyFill="1" applyBorder="1" applyAlignment="1">
      <alignment horizontal="center" vertical="center"/>
    </xf>
    <xf numFmtId="37" fontId="34" fillId="6" borderId="44" xfId="0" applyFont="1" applyFill="1" applyBorder="1" applyAlignment="1">
      <alignment horizontal="center" vertical="center"/>
    </xf>
    <xf numFmtId="37" fontId="34" fillId="6" borderId="40" xfId="0" applyFont="1" applyFill="1" applyBorder="1" applyAlignment="1">
      <alignment horizontal="center" vertical="center"/>
    </xf>
    <xf numFmtId="171" fontId="34" fillId="6" borderId="74" xfId="0" applyNumberFormat="1" applyFont="1" applyFill="1" applyBorder="1" applyAlignment="1">
      <alignment horizontal="center" vertical="center"/>
    </xf>
    <xf numFmtId="37" fontId="31" fillId="0" borderId="42" xfId="0" applyFont="1" applyBorder="1" applyAlignment="1">
      <alignment vertical="center"/>
    </xf>
    <xf numFmtId="37" fontId="36" fillId="0" borderId="0" xfId="0" applyFont="1" applyAlignment="1">
      <alignment horizontal="left" vertical="center" indent="2"/>
    </xf>
    <xf numFmtId="9" fontId="11" fillId="0" borderId="0" xfId="85" applyFont="1" applyAlignment="1">
      <alignment horizontal="center" vertical="center"/>
    </xf>
    <xf numFmtId="171" fontId="36" fillId="0" borderId="0" xfId="0" applyNumberFormat="1" applyFont="1" applyAlignment="1">
      <alignment horizontal="center" vertical="center"/>
    </xf>
    <xf numFmtId="10" fontId="11" fillId="0" borderId="0" xfId="85" applyNumberFormat="1" applyFont="1" applyAlignment="1">
      <alignment horizontal="center" vertical="center"/>
    </xf>
    <xf numFmtId="37" fontId="31" fillId="6" borderId="75" xfId="0" applyFont="1" applyFill="1" applyBorder="1" applyAlignment="1">
      <alignment horizontal="left" vertical="center" indent="1"/>
    </xf>
    <xf numFmtId="37" fontId="31" fillId="6" borderId="76" xfId="0" applyFont="1" applyFill="1" applyBorder="1" applyAlignment="1">
      <alignment horizontal="left" vertical="center" indent="1"/>
    </xf>
    <xf numFmtId="37" fontId="11" fillId="30" borderId="75" xfId="0" applyFont="1" applyFill="1" applyBorder="1" applyAlignment="1">
      <alignment horizontal="left" vertical="center" indent="1"/>
    </xf>
    <xf numFmtId="171" fontId="31" fillId="30" borderId="33" xfId="0" applyNumberFormat="1" applyFont="1" applyFill="1" applyBorder="1" applyAlignment="1">
      <alignment horizontal="center" vertical="center"/>
    </xf>
    <xf numFmtId="37" fontId="31" fillId="30" borderId="76" xfId="0" applyFont="1" applyFill="1" applyBorder="1" applyAlignment="1">
      <alignment horizontal="left" vertical="center" indent="1"/>
    </xf>
    <xf numFmtId="37" fontId="11" fillId="30" borderId="76" xfId="0" applyFont="1" applyFill="1" applyBorder="1" applyAlignment="1">
      <alignment horizontal="right" vertical="center"/>
    </xf>
    <xf numFmtId="9" fontId="11" fillId="30" borderId="77" xfId="85" applyFont="1" applyFill="1" applyBorder="1" applyAlignment="1">
      <alignment horizontal="center" vertical="center"/>
    </xf>
    <xf numFmtId="37" fontId="11" fillId="30" borderId="78" xfId="0" applyFont="1" applyFill="1" applyBorder="1" applyAlignment="1">
      <alignment vertical="center"/>
    </xf>
    <xf numFmtId="37" fontId="11" fillId="30" borderId="77" xfId="0" applyFont="1" applyFill="1" applyBorder="1" applyAlignment="1">
      <alignment horizontal="right" vertical="center"/>
    </xf>
    <xf numFmtId="171" fontId="31" fillId="30" borderId="32" xfId="0" applyNumberFormat="1" applyFont="1" applyFill="1" applyBorder="1" applyAlignment="1">
      <alignment horizontal="center" vertical="center"/>
    </xf>
    <xf numFmtId="180" fontId="30" fillId="0" borderId="41" xfId="85" applyNumberFormat="1" applyFont="1" applyBorder="1" applyAlignment="1">
      <alignment horizontal="right" vertical="center"/>
    </xf>
    <xf numFmtId="10" fontId="31" fillId="6" borderId="39" xfId="85" applyNumberFormat="1" applyFont="1" applyFill="1" applyBorder="1" applyAlignment="1">
      <alignment horizontal="right" vertical="center"/>
    </xf>
    <xf numFmtId="10" fontId="11" fillId="0" borderId="29" xfId="85" applyNumberFormat="1" applyFont="1" applyBorder="1" applyAlignment="1">
      <alignment horizontal="right" vertical="center"/>
    </xf>
    <xf numFmtId="10" fontId="11" fillId="0" borderId="30" xfId="85" applyNumberFormat="1" applyFont="1" applyBorder="1" applyAlignment="1">
      <alignment horizontal="right" vertical="center"/>
    </xf>
    <xf numFmtId="10" fontId="11" fillId="0" borderId="31" xfId="85" applyNumberFormat="1" applyFont="1" applyBorder="1" applyAlignment="1">
      <alignment horizontal="right" vertical="center"/>
    </xf>
    <xf numFmtId="37" fontId="31" fillId="0" borderId="0" xfId="0" applyFont="1" applyAlignment="1">
      <alignment horizontal="right" vertical="center"/>
    </xf>
    <xf numFmtId="10" fontId="34" fillId="6" borderId="39" xfId="85" applyNumberFormat="1" applyFont="1" applyFill="1" applyBorder="1" applyAlignment="1">
      <alignment horizontal="right" vertical="center"/>
    </xf>
    <xf numFmtId="10" fontId="34" fillId="6" borderId="41" xfId="85" applyNumberFormat="1" applyFont="1" applyFill="1" applyBorder="1" applyAlignment="1">
      <alignment horizontal="right" vertical="center"/>
    </xf>
    <xf numFmtId="37" fontId="31" fillId="0" borderId="42" xfId="0" applyFont="1" applyBorder="1" applyAlignment="1">
      <alignment horizontal="right" vertical="center"/>
    </xf>
    <xf numFmtId="10" fontId="11" fillId="30" borderId="79" xfId="85" applyNumberFormat="1" applyFont="1" applyFill="1" applyBorder="1" applyAlignment="1">
      <alignment horizontal="right" vertical="center"/>
    </xf>
    <xf numFmtId="10" fontId="11" fillId="30" borderId="25" xfId="85" applyNumberFormat="1" applyFont="1" applyFill="1" applyBorder="1" applyAlignment="1">
      <alignment horizontal="right" vertical="center"/>
    </xf>
    <xf numFmtId="37" fontId="34" fillId="22" borderId="42" xfId="0" applyFont="1" applyFill="1" applyBorder="1" applyAlignment="1">
      <alignment vertical="center"/>
    </xf>
    <xf numFmtId="165" fontId="11" fillId="22" borderId="42" xfId="106" applyFont="1" applyFill="1" applyBorder="1" applyAlignment="1">
      <alignment vertical="center"/>
    </xf>
    <xf numFmtId="37" fontId="34" fillId="22" borderId="74" xfId="0" applyFont="1" applyFill="1" applyBorder="1" applyAlignment="1">
      <alignment vertical="center"/>
    </xf>
    <xf numFmtId="177" fontId="38" fillId="22" borderId="41" xfId="106" applyNumberFormat="1" applyFont="1" applyFill="1" applyBorder="1" applyAlignment="1">
      <alignment horizontal="right" vertical="center"/>
    </xf>
    <xf numFmtId="173" fontId="30" fillId="0" borderId="67" xfId="0" applyNumberFormat="1" applyFont="1" applyBorder="1" applyAlignment="1">
      <alignment vertical="center"/>
    </xf>
    <xf numFmtId="37" fontId="30" fillId="0" borderId="32" xfId="0" applyFont="1" applyBorder="1" applyAlignment="1">
      <alignment vertical="center"/>
    </xf>
    <xf numFmtId="37" fontId="30" fillId="0" borderId="80" xfId="0" applyFont="1" applyBorder="1" applyAlignment="1">
      <alignment vertical="center"/>
    </xf>
    <xf numFmtId="37" fontId="30" fillId="0" borderId="27" xfId="0" applyFont="1" applyBorder="1" applyAlignment="1" quotePrefix="1">
      <alignment vertical="center"/>
    </xf>
    <xf numFmtId="9" fontId="11" fillId="30" borderId="77" xfId="85" applyFont="1" applyFill="1" applyBorder="1" applyAlignment="1" applyProtection="1">
      <alignment horizontal="center" vertical="center"/>
      <protection locked="0"/>
    </xf>
    <xf numFmtId="37" fontId="7" fillId="0" borderId="81" xfId="0" applyFont="1" applyBorder="1" applyAlignment="1">
      <alignment/>
    </xf>
    <xf numFmtId="176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14" fillId="0" borderId="0" xfId="85" applyNumberFormat="1" applyFont="1" applyAlignment="1">
      <alignment horizontal="center"/>
    </xf>
    <xf numFmtId="178" fontId="14" fillId="0" borderId="0" xfId="76" applyNumberFormat="1" applyFont="1" applyAlignment="1">
      <alignment/>
    </xf>
    <xf numFmtId="37" fontId="14" fillId="0" borderId="0" xfId="0" applyFont="1" applyAlignment="1">
      <alignment/>
    </xf>
    <xf numFmtId="37" fontId="29" fillId="0" borderId="0" xfId="0" applyFont="1" applyAlignment="1">
      <alignment/>
    </xf>
    <xf numFmtId="37" fontId="15" fillId="0" borderId="0" xfId="0" applyFont="1" applyAlignment="1">
      <alignment horizontal="center"/>
    </xf>
    <xf numFmtId="9" fontId="14" fillId="0" borderId="0" xfId="85" applyFont="1" applyAlignment="1">
      <alignment horizontal="center"/>
    </xf>
    <xf numFmtId="178" fontId="14" fillId="0" borderId="0" xfId="0" applyNumberFormat="1" applyFont="1" applyAlignment="1">
      <alignment horizontal="center"/>
    </xf>
    <xf numFmtId="37" fontId="14" fillId="49" borderId="0" xfId="0" applyFont="1" applyFill="1" applyAlignment="1">
      <alignment horizontal="center"/>
    </xf>
    <xf numFmtId="176" fontId="31" fillId="0" borderId="0" xfId="85" applyNumberFormat="1" applyFont="1" applyAlignment="1">
      <alignment/>
    </xf>
    <xf numFmtId="176" fontId="40" fillId="0" borderId="0" xfId="0" applyNumberFormat="1" applyFont="1" applyAlignment="1">
      <alignment horizontal="center"/>
    </xf>
    <xf numFmtId="37" fontId="36" fillId="0" borderId="0" xfId="0" applyFont="1" applyAlignment="1">
      <alignment horizontal="left" vertical="center" indent="1"/>
    </xf>
    <xf numFmtId="37" fontId="36" fillId="0" borderId="82" xfId="0" applyFont="1" applyBorder="1" applyAlignment="1">
      <alignment horizontal="left" vertical="center" indent="1"/>
    </xf>
    <xf numFmtId="176" fontId="40" fillId="0" borderId="82" xfId="0" applyNumberFormat="1" applyFont="1" applyBorder="1" applyAlignment="1">
      <alignment horizontal="center"/>
    </xf>
    <xf numFmtId="10" fontId="14" fillId="0" borderId="82" xfId="85" applyNumberFormat="1" applyFont="1" applyBorder="1" applyAlignment="1">
      <alignment horizontal="center"/>
    </xf>
    <xf numFmtId="178" fontId="14" fillId="0" borderId="82" xfId="76" applyNumberFormat="1" applyFont="1" applyBorder="1" applyAlignment="1">
      <alignment/>
    </xf>
    <xf numFmtId="37" fontId="36" fillId="0" borderId="82" xfId="0" applyFont="1" applyBorder="1" applyAlignment="1" quotePrefix="1">
      <alignment horizontal="left" vertical="center" indent="1"/>
    </xf>
    <xf numFmtId="37" fontId="36" fillId="0" borderId="83" xfId="0" applyFont="1" applyBorder="1" applyAlignment="1">
      <alignment horizontal="left" vertical="center" indent="1"/>
    </xf>
    <xf numFmtId="176" fontId="40" fillId="0" borderId="83" xfId="0" applyNumberFormat="1" applyFont="1" applyBorder="1" applyAlignment="1">
      <alignment horizontal="center"/>
    </xf>
    <xf numFmtId="10" fontId="14" fillId="0" borderId="83" xfId="85" applyNumberFormat="1" applyFont="1" applyBorder="1" applyAlignment="1">
      <alignment horizontal="center"/>
    </xf>
    <xf numFmtId="178" fontId="14" fillId="0" borderId="83" xfId="76" applyNumberFormat="1" applyFont="1" applyBorder="1" applyAlignment="1">
      <alignment/>
    </xf>
    <xf numFmtId="37" fontId="36" fillId="0" borderId="83" xfId="0" applyFont="1" applyBorder="1" applyAlignment="1" quotePrefix="1">
      <alignment horizontal="left" vertical="center" indent="1"/>
    </xf>
    <xf numFmtId="37" fontId="11" fillId="30" borderId="83" xfId="0" applyFont="1" applyFill="1" applyBorder="1" applyAlignment="1">
      <alignment horizontal="left" vertical="center" indent="1"/>
    </xf>
    <xf numFmtId="37" fontId="31" fillId="30" borderId="83" xfId="0" applyFont="1" applyFill="1" applyBorder="1" applyAlignment="1">
      <alignment horizontal="left" vertical="center" indent="1"/>
    </xf>
    <xf numFmtId="9" fontId="9" fillId="0" borderId="0" xfId="85" applyFont="1" applyAlignment="1">
      <alignment/>
    </xf>
    <xf numFmtId="176" fontId="14" fillId="0" borderId="83" xfId="0" applyNumberFormat="1" applyFont="1" applyBorder="1" applyAlignment="1">
      <alignment horizontal="center"/>
    </xf>
    <xf numFmtId="176" fontId="14" fillId="49" borderId="0" xfId="0" applyNumberFormat="1" applyFont="1" applyFill="1" applyAlignment="1">
      <alignment horizontal="center"/>
    </xf>
    <xf numFmtId="176" fontId="14" fillId="0" borderId="82" xfId="0" applyNumberFormat="1" applyFont="1" applyBorder="1" applyAlignment="1">
      <alignment horizontal="center"/>
    </xf>
    <xf numFmtId="176" fontId="14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5" fontId="31" fillId="0" borderId="0" xfId="106" applyFont="1" applyAlignment="1">
      <alignment/>
    </xf>
    <xf numFmtId="37" fontId="38" fillId="2" borderId="0" xfId="0" applyFont="1" applyFill="1" applyAlignment="1">
      <alignment vertical="center"/>
    </xf>
    <xf numFmtId="176" fontId="40" fillId="2" borderId="82" xfId="0" applyNumberFormat="1" applyFont="1" applyFill="1" applyBorder="1" applyAlignment="1">
      <alignment horizontal="center"/>
    </xf>
    <xf numFmtId="10" fontId="14" fillId="2" borderId="82" xfId="85" applyNumberFormat="1" applyFont="1" applyFill="1" applyBorder="1" applyAlignment="1">
      <alignment horizontal="center"/>
    </xf>
    <xf numFmtId="176" fontId="14" fillId="2" borderId="82" xfId="0" applyNumberFormat="1" applyFont="1" applyFill="1" applyBorder="1" applyAlignment="1">
      <alignment horizontal="center"/>
    </xf>
    <xf numFmtId="178" fontId="14" fillId="2" borderId="82" xfId="76" applyNumberFormat="1" applyFont="1" applyFill="1" applyBorder="1" applyAlignment="1">
      <alignment/>
    </xf>
    <xf numFmtId="183" fontId="40" fillId="0" borderId="0" xfId="0" applyNumberFormat="1" applyFont="1" applyAlignment="1">
      <alignment horizontal="center"/>
    </xf>
    <xf numFmtId="178" fontId="40" fillId="0" borderId="0" xfId="76" applyNumberFormat="1" applyFont="1" applyAlignment="1">
      <alignment horizontal="center"/>
    </xf>
    <xf numFmtId="165" fontId="30" fillId="0" borderId="26" xfId="106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center" vertical="center"/>
    </xf>
    <xf numFmtId="37" fontId="0" fillId="0" borderId="30" xfId="0" applyFont="1" applyBorder="1" applyAlignment="1">
      <alignment horizontal="center" vertical="center"/>
    </xf>
    <xf numFmtId="37" fontId="34" fillId="8" borderId="74" xfId="0" applyFont="1" applyFill="1" applyBorder="1" applyAlignment="1">
      <alignment vertical="center"/>
    </xf>
    <xf numFmtId="169" fontId="13" fillId="8" borderId="41" xfId="106" applyNumberFormat="1" applyFont="1" applyFill="1" applyBorder="1" applyAlignment="1">
      <alignment horizontal="left" vertical="center"/>
    </xf>
    <xf numFmtId="39" fontId="30" fillId="0" borderId="31" xfId="0" applyNumberFormat="1" applyFont="1" applyBorder="1" applyAlignment="1">
      <alignment vertical="center"/>
    </xf>
    <xf numFmtId="171" fontId="11" fillId="0" borderId="65" xfId="0" applyNumberFormat="1" applyFont="1" applyBorder="1" applyAlignment="1">
      <alignment horizontal="right" vertical="center"/>
    </xf>
    <xf numFmtId="168" fontId="11" fillId="0" borderId="61" xfId="0" applyNumberFormat="1" applyFont="1" applyBorder="1" applyAlignment="1">
      <alignment horizontal="right" vertical="center"/>
    </xf>
    <xf numFmtId="171" fontId="11" fillId="0" borderId="65" xfId="106" applyNumberFormat="1" applyFont="1" applyBorder="1" applyAlignment="1">
      <alignment horizontal="right" vertical="center"/>
    </xf>
    <xf numFmtId="171" fontId="32" fillId="0" borderId="21" xfId="106" applyNumberFormat="1" applyFont="1" applyBorder="1" applyAlignment="1">
      <alignment horizontal="center" vertical="center"/>
    </xf>
    <xf numFmtId="168" fontId="30" fillId="0" borderId="20" xfId="0" applyNumberFormat="1" applyFont="1" applyBorder="1" applyAlignment="1">
      <alignment horizontal="right" vertical="center"/>
    </xf>
    <xf numFmtId="37" fontId="33" fillId="49" borderId="42" xfId="0" applyFont="1" applyFill="1" applyBorder="1" applyAlignment="1">
      <alignment horizontal="center" vertical="center" wrapText="1"/>
    </xf>
    <xf numFmtId="37" fontId="33" fillId="49" borderId="37" xfId="0" applyFont="1" applyFill="1" applyBorder="1" applyAlignment="1">
      <alignment horizontal="center" vertical="center" wrapText="1"/>
    </xf>
    <xf numFmtId="37" fontId="33" fillId="49" borderId="38" xfId="0" applyFont="1" applyFill="1" applyBorder="1" applyAlignment="1">
      <alignment horizontal="center" vertical="center" wrapText="1"/>
    </xf>
    <xf numFmtId="37" fontId="33" fillId="49" borderId="39" xfId="0" applyFont="1" applyFill="1" applyBorder="1" applyAlignment="1">
      <alignment horizontal="center" vertical="center" wrapText="1"/>
    </xf>
    <xf numFmtId="37" fontId="33" fillId="49" borderId="54" xfId="0" applyFont="1" applyFill="1" applyBorder="1" applyAlignment="1">
      <alignment horizontal="center" vertical="center" wrapText="1"/>
    </xf>
    <xf numFmtId="37" fontId="11" fillId="30" borderId="20" xfId="0" applyFont="1" applyFill="1" applyBorder="1" applyAlignment="1">
      <alignment horizontal="center" vertical="center"/>
    </xf>
    <xf numFmtId="9" fontId="34" fillId="0" borderId="0" xfId="85" applyFont="1" applyAlignment="1">
      <alignment/>
    </xf>
    <xf numFmtId="179" fontId="0" fillId="0" borderId="0" xfId="85" applyNumberFormat="1" applyFont="1" applyAlignment="1">
      <alignment/>
    </xf>
    <xf numFmtId="169" fontId="11" fillId="49" borderId="22" xfId="106" applyNumberFormat="1" applyFont="1" applyFill="1" applyBorder="1" applyAlignment="1">
      <alignment horizontal="right" vertical="center"/>
    </xf>
    <xf numFmtId="169" fontId="11" fillId="49" borderId="20" xfId="106" applyNumberFormat="1" applyFont="1" applyFill="1" applyBorder="1" applyAlignment="1">
      <alignment horizontal="right" vertical="center"/>
    </xf>
    <xf numFmtId="169" fontId="11" fillId="49" borderId="61" xfId="106" applyNumberFormat="1" applyFont="1" applyFill="1" applyBorder="1" applyAlignment="1">
      <alignment horizontal="right" vertical="center"/>
    </xf>
    <xf numFmtId="169" fontId="11" fillId="49" borderId="24" xfId="106" applyNumberFormat="1" applyFont="1" applyFill="1" applyBorder="1" applyAlignment="1">
      <alignment horizontal="right" vertical="center"/>
    </xf>
    <xf numFmtId="169" fontId="11" fillId="49" borderId="65" xfId="106" applyNumberFormat="1" applyFont="1" applyFill="1" applyBorder="1" applyAlignment="1">
      <alignment horizontal="right" vertical="center"/>
    </xf>
    <xf numFmtId="37" fontId="36" fillId="49" borderId="79" xfId="0" applyFont="1" applyFill="1" applyBorder="1" applyAlignment="1">
      <alignment horizontal="right" vertical="center" indent="1"/>
    </xf>
    <xf numFmtId="37" fontId="36" fillId="49" borderId="61" xfId="0" applyFont="1" applyFill="1" applyBorder="1" applyAlignment="1">
      <alignment horizontal="right" vertical="center" indent="1"/>
    </xf>
    <xf numFmtId="37" fontId="36" fillId="49" borderId="25" xfId="0" applyFont="1" applyFill="1" applyBorder="1" applyAlignment="1">
      <alignment horizontal="right" vertical="center" indent="1"/>
    </xf>
    <xf numFmtId="4" fontId="11" fillId="49" borderId="29" xfId="106" applyNumberFormat="1" applyFont="1" applyFill="1" applyBorder="1" applyAlignment="1">
      <alignment horizontal="right" vertical="center"/>
    </xf>
    <xf numFmtId="37" fontId="30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/>
    </xf>
    <xf numFmtId="165" fontId="9" fillId="0" borderId="0" xfId="106" applyFont="1" applyAlignment="1">
      <alignment/>
    </xf>
    <xf numFmtId="181" fontId="0" fillId="24" borderId="0" xfId="0" applyNumberFormat="1" applyFill="1" applyAlignment="1">
      <alignment/>
    </xf>
    <xf numFmtId="37" fontId="0" fillId="0" borderId="0" xfId="0" applyAlignment="1">
      <alignment horizontal="left"/>
    </xf>
    <xf numFmtId="184" fontId="0" fillId="0" borderId="0" xfId="0" applyNumberFormat="1" applyAlignment="1">
      <alignment/>
    </xf>
    <xf numFmtId="37" fontId="0" fillId="0" borderId="0" xfId="0" applyAlignment="1">
      <alignment horizontal="left" indent="1"/>
    </xf>
    <xf numFmtId="9" fontId="4" fillId="0" borderId="0" xfId="85" applyAlignment="1">
      <alignment/>
    </xf>
    <xf numFmtId="182" fontId="4" fillId="0" borderId="0" xfId="0" applyNumberFormat="1" applyFont="1" applyAlignment="1">
      <alignment/>
    </xf>
    <xf numFmtId="184" fontId="41" fillId="0" borderId="0" xfId="0" applyNumberFormat="1" applyFont="1" applyAlignment="1">
      <alignment/>
    </xf>
    <xf numFmtId="9" fontId="7" fillId="0" borderId="0" xfId="85" applyFont="1" applyAlignment="1">
      <alignment/>
    </xf>
    <xf numFmtId="171" fontId="31" fillId="0" borderId="0" xfId="106" applyNumberFormat="1" applyFont="1" applyAlignment="1">
      <alignment/>
    </xf>
    <xf numFmtId="37" fontId="0" fillId="50" borderId="30" xfId="0" applyFont="1" applyFill="1" applyBorder="1" applyAlignment="1">
      <alignment horizontal="center" vertical="center"/>
    </xf>
    <xf numFmtId="37" fontId="79" fillId="0" borderId="0" xfId="0" applyFont="1" applyAlignment="1">
      <alignment/>
    </xf>
    <xf numFmtId="9" fontId="31" fillId="0" borderId="0" xfId="85" applyFont="1" applyAlignment="1">
      <alignment/>
    </xf>
    <xf numFmtId="10" fontId="9" fillId="0" borderId="0" xfId="85" applyNumberFormat="1" applyFont="1" applyAlignment="1">
      <alignment/>
    </xf>
    <xf numFmtId="37" fontId="33" fillId="49" borderId="43" xfId="0" applyFont="1" applyFill="1" applyBorder="1" applyAlignment="1">
      <alignment vertical="center" wrapText="1"/>
    </xf>
    <xf numFmtId="17" fontId="11" fillId="0" borderId="27" xfId="0" applyNumberFormat="1" applyFont="1" applyBorder="1" applyAlignment="1">
      <alignment vertical="top"/>
    </xf>
    <xf numFmtId="9" fontId="0" fillId="0" borderId="0" xfId="85" applyFont="1" applyAlignment="1">
      <alignment/>
    </xf>
    <xf numFmtId="37" fontId="80" fillId="0" borderId="0" xfId="0" applyFont="1" applyAlignment="1">
      <alignment/>
    </xf>
    <xf numFmtId="37" fontId="80" fillId="0" borderId="0" xfId="0" applyFont="1" applyAlignment="1">
      <alignment/>
    </xf>
    <xf numFmtId="39" fontId="80" fillId="0" borderId="0" xfId="0" applyNumberFormat="1" applyFont="1" applyAlignment="1">
      <alignment/>
    </xf>
    <xf numFmtId="203" fontId="11" fillId="0" borderId="61" xfId="0" applyNumberFormat="1" applyFont="1" applyBorder="1" applyAlignment="1">
      <alignment horizontal="right" vertical="center"/>
    </xf>
    <xf numFmtId="181" fontId="0" fillId="50" borderId="0" xfId="0" applyNumberFormat="1" applyFill="1" applyAlignment="1">
      <alignment/>
    </xf>
    <xf numFmtId="37" fontId="4" fillId="50" borderId="0" xfId="0" applyFont="1" applyFill="1" applyAlignment="1">
      <alignment/>
    </xf>
    <xf numFmtId="37" fontId="30" fillId="50" borderId="0" xfId="81" applyFont="1" applyFill="1" applyAlignment="1">
      <alignment vertical="center"/>
      <protection/>
    </xf>
    <xf numFmtId="10" fontId="30" fillId="50" borderId="0" xfId="85" applyNumberFormat="1" applyFont="1" applyFill="1" applyAlignment="1" applyProtection="1">
      <alignment horizontal="center" vertical="center"/>
      <protection locked="0"/>
    </xf>
    <xf numFmtId="37" fontId="30" fillId="50" borderId="20" xfId="81" applyFont="1" applyFill="1" applyBorder="1" applyAlignment="1">
      <alignment vertical="center"/>
      <protection/>
    </xf>
    <xf numFmtId="37" fontId="30" fillId="50" borderId="84" xfId="81" applyFont="1" applyFill="1" applyBorder="1" applyAlignment="1">
      <alignment vertical="center"/>
      <protection/>
    </xf>
    <xf numFmtId="37" fontId="7" fillId="0" borderId="85" xfId="0" applyFont="1" applyBorder="1" applyAlignment="1">
      <alignment/>
    </xf>
    <xf numFmtId="9" fontId="30" fillId="50" borderId="84" xfId="85" applyFont="1" applyFill="1" applyBorder="1" applyAlignment="1">
      <alignment vertical="center"/>
    </xf>
    <xf numFmtId="37" fontId="4" fillId="50" borderId="0" xfId="0" applyFont="1" applyFill="1" applyAlignment="1">
      <alignment/>
    </xf>
    <xf numFmtId="37" fontId="1" fillId="50" borderId="0" xfId="0" applyFont="1" applyFill="1" applyAlignment="1">
      <alignment horizontal="center"/>
    </xf>
    <xf numFmtId="196" fontId="4" fillId="0" borderId="0" xfId="0" applyNumberFormat="1" applyFont="1" applyAlignment="1">
      <alignment/>
    </xf>
    <xf numFmtId="10" fontId="30" fillId="50" borderId="0" xfId="85" applyNumberFormat="1" applyFont="1" applyFill="1" applyAlignment="1">
      <alignment vertical="center"/>
    </xf>
    <xf numFmtId="37" fontId="30" fillId="50" borderId="0" xfId="0" applyFont="1" applyFill="1" applyAlignment="1">
      <alignment vertical="center"/>
    </xf>
    <xf numFmtId="9" fontId="30" fillId="50" borderId="0" xfId="85" applyFont="1" applyFill="1" applyAlignment="1">
      <alignment vertical="center"/>
    </xf>
    <xf numFmtId="177" fontId="30" fillId="50" borderId="0" xfId="81" applyNumberFormat="1" applyFont="1" applyFill="1" applyAlignment="1">
      <alignment horizontal="right" vertical="center"/>
      <protection/>
    </xf>
    <xf numFmtId="9" fontId="30" fillId="50" borderId="0" xfId="85" applyFont="1" applyFill="1" applyAlignment="1">
      <alignment vertical="center" wrapText="1"/>
    </xf>
    <xf numFmtId="37" fontId="4" fillId="50" borderId="0" xfId="0" applyFont="1" applyFill="1" applyAlignment="1">
      <alignment wrapText="1"/>
    </xf>
    <xf numFmtId="37" fontId="30" fillId="50" borderId="0" xfId="81" applyFont="1" applyFill="1" applyAlignment="1">
      <alignment vertical="center" wrapText="1"/>
      <protection/>
    </xf>
    <xf numFmtId="37" fontId="11" fillId="50" borderId="0" xfId="0" applyFont="1" applyFill="1" applyAlignment="1">
      <alignment vertical="center"/>
    </xf>
    <xf numFmtId="37" fontId="39" fillId="50" borderId="0" xfId="0" applyFont="1" applyFill="1" applyAlignment="1">
      <alignment/>
    </xf>
    <xf numFmtId="37" fontId="7" fillId="50" borderId="0" xfId="0" applyFont="1" applyFill="1" applyAlignment="1">
      <alignment/>
    </xf>
    <xf numFmtId="178" fontId="4" fillId="50" borderId="0" xfId="76" applyNumberFormat="1" applyFill="1" applyAlignment="1">
      <alignment/>
    </xf>
    <xf numFmtId="178" fontId="7" fillId="50" borderId="0" xfId="76" applyNumberFormat="1" applyFont="1" applyFill="1" applyAlignment="1">
      <alignment/>
    </xf>
    <xf numFmtId="10" fontId="7" fillId="50" borderId="0" xfId="85" applyNumberFormat="1" applyFont="1" applyFill="1" applyAlignment="1">
      <alignment/>
    </xf>
    <xf numFmtId="4" fontId="30" fillId="0" borderId="29" xfId="0" applyNumberFormat="1" applyFont="1" applyBorder="1" applyAlignment="1">
      <alignment horizontal="right" vertical="center"/>
    </xf>
    <xf numFmtId="37" fontId="30" fillId="0" borderId="30" xfId="0" applyFont="1" applyBorder="1" applyAlignment="1">
      <alignment vertical="center"/>
    </xf>
    <xf numFmtId="39" fontId="30" fillId="0" borderId="30" xfId="0" applyNumberFormat="1" applyFont="1" applyBorder="1" applyAlignment="1">
      <alignment vertical="center"/>
    </xf>
    <xf numFmtId="37" fontId="38" fillId="0" borderId="42" xfId="0" applyFont="1" applyBorder="1" applyAlignment="1">
      <alignment vertical="center"/>
    </xf>
    <xf numFmtId="37" fontId="38" fillId="0" borderId="0" xfId="0" applyFont="1" applyAlignment="1">
      <alignment horizontal="center" vertical="center"/>
    </xf>
    <xf numFmtId="178" fontId="7" fillId="0" borderId="0" xfId="76" applyNumberFormat="1" applyFont="1" applyAlignment="1">
      <alignment/>
    </xf>
    <xf numFmtId="165" fontId="30" fillId="0" borderId="19" xfId="106" applyFont="1" applyBorder="1" applyAlignment="1">
      <alignment horizontal="right" vertical="center"/>
    </xf>
    <xf numFmtId="10" fontId="7" fillId="0" borderId="0" xfId="85" applyNumberFormat="1" applyFont="1" applyAlignment="1">
      <alignment/>
    </xf>
    <xf numFmtId="181" fontId="0" fillId="0" borderId="0" xfId="0" applyNumberFormat="1" applyFont="1" applyAlignment="1">
      <alignment/>
    </xf>
    <xf numFmtId="37" fontId="30" fillId="0" borderId="0" xfId="0" applyFont="1" applyAlignment="1">
      <alignment horizontal="right" vertical="center" indent="1"/>
    </xf>
    <xf numFmtId="181" fontId="0" fillId="50" borderId="0" xfId="0" applyNumberFormat="1" applyFont="1" applyFill="1" applyAlignment="1">
      <alignment/>
    </xf>
    <xf numFmtId="182" fontId="9" fillId="0" borderId="0" xfId="0" applyNumberFormat="1" applyFont="1" applyAlignment="1">
      <alignment/>
    </xf>
    <xf numFmtId="37" fontId="78" fillId="51" borderId="86" xfId="0" applyFont="1" applyFill="1" applyBorder="1" applyAlignment="1">
      <alignment/>
    </xf>
    <xf numFmtId="3" fontId="0" fillId="0" borderId="0" xfId="0" applyNumberFormat="1" applyAlignment="1">
      <alignment horizontal="left"/>
    </xf>
    <xf numFmtId="0" fontId="30" fillId="52" borderId="43" xfId="0" applyNumberFormat="1" applyFont="1" applyFill="1" applyBorder="1" applyAlignment="1">
      <alignment horizontal="center" vertical="center"/>
    </xf>
    <xf numFmtId="37" fontId="30" fillId="52" borderId="19" xfId="0" applyFont="1" applyFill="1" applyBorder="1" applyAlignment="1">
      <alignment horizontal="right" vertical="center" indent="1"/>
    </xf>
    <xf numFmtId="37" fontId="30" fillId="52" borderId="20" xfId="0" applyFont="1" applyFill="1" applyBorder="1" applyAlignment="1">
      <alignment horizontal="right" vertical="center" indent="1"/>
    </xf>
    <xf numFmtId="37" fontId="33" fillId="52" borderId="29" xfId="0" applyFont="1" applyFill="1" applyBorder="1" applyAlignment="1">
      <alignment horizontal="right" vertical="center" indent="1"/>
    </xf>
    <xf numFmtId="169" fontId="0" fillId="0" borderId="0" xfId="106" applyNumberFormat="1" applyFont="1" applyAlignment="1">
      <alignment/>
    </xf>
    <xf numFmtId="37" fontId="7" fillId="0" borderId="81" xfId="0" applyFont="1" applyBorder="1" applyAlignment="1">
      <alignment horizontal="center" vertical="center"/>
    </xf>
    <xf numFmtId="10" fontId="7" fillId="0" borderId="81" xfId="85" applyNumberFormat="1" applyFont="1" applyBorder="1" applyAlignment="1">
      <alignment horizontal="center" vertical="center"/>
    </xf>
    <xf numFmtId="178" fontId="7" fillId="50" borderId="0" xfId="0" applyNumberFormat="1" applyFont="1" applyFill="1" applyAlignment="1">
      <alignment/>
    </xf>
    <xf numFmtId="37" fontId="31" fillId="0" borderId="27" xfId="0" applyFont="1" applyBorder="1" applyAlignment="1">
      <alignment horizontal="center" vertical="center"/>
    </xf>
    <xf numFmtId="37" fontId="31" fillId="0" borderId="30" xfId="0" applyFont="1" applyBorder="1" applyAlignment="1">
      <alignment horizontal="center" vertical="center"/>
    </xf>
    <xf numFmtId="0" fontId="30" fillId="52" borderId="0" xfId="0" applyNumberFormat="1" applyFont="1" applyFill="1" applyAlignment="1">
      <alignment horizontal="center" vertical="center"/>
    </xf>
    <xf numFmtId="37" fontId="30" fillId="52" borderId="44" xfId="0" applyFont="1" applyFill="1" applyBorder="1" applyAlignment="1">
      <alignment horizontal="right" vertical="center" indent="1"/>
    </xf>
    <xf numFmtId="37" fontId="30" fillId="52" borderId="40" xfId="0" applyFont="1" applyFill="1" applyBorder="1" applyAlignment="1">
      <alignment horizontal="right" vertical="center" indent="1"/>
    </xf>
    <xf numFmtId="4" fontId="30" fillId="0" borderId="0" xfId="0" applyNumberFormat="1" applyFont="1" applyAlignment="1">
      <alignment horizontal="right" vertical="center"/>
    </xf>
    <xf numFmtId="37" fontId="11" fillId="0" borderId="66" xfId="0" applyFont="1" applyBorder="1" applyAlignment="1">
      <alignment horizontal="left" vertical="center" indent="1"/>
    </xf>
    <xf numFmtId="3" fontId="31" fillId="0" borderId="87" xfId="106" applyNumberFormat="1" applyFont="1" applyBorder="1" applyAlignment="1">
      <alignment horizontal="center" vertical="center"/>
    </xf>
    <xf numFmtId="3" fontId="31" fillId="0" borderId="66" xfId="106" applyNumberFormat="1" applyFont="1" applyBorder="1" applyAlignment="1">
      <alignment horizontal="center" vertical="center"/>
    </xf>
    <xf numFmtId="37" fontId="31" fillId="0" borderId="63" xfId="0" applyFont="1" applyBorder="1" applyAlignment="1">
      <alignment horizontal="center" vertical="center"/>
    </xf>
    <xf numFmtId="10" fontId="31" fillId="0" borderId="20" xfId="85" applyNumberFormat="1" applyFont="1" applyBorder="1" applyAlignment="1">
      <alignment horizontal="center" vertical="center"/>
    </xf>
    <xf numFmtId="37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37" fontId="0" fillId="0" borderId="0" xfId="0" applyFont="1" applyAlignment="1">
      <alignment horizontal="center" vertical="center"/>
    </xf>
    <xf numFmtId="169" fontId="13" fillId="0" borderId="0" xfId="106" applyNumberFormat="1" applyFont="1" applyAlignment="1">
      <alignment horizontal="left" vertical="center"/>
    </xf>
    <xf numFmtId="37" fontId="0" fillId="0" borderId="41" xfId="0" applyFont="1" applyBorder="1" applyAlignment="1">
      <alignment horizontal="center" vertical="center"/>
    </xf>
    <xf numFmtId="37" fontId="0" fillId="50" borderId="41" xfId="0" applyFont="1" applyFill="1" applyBorder="1" applyAlignment="1">
      <alignment horizontal="center" vertical="center"/>
    </xf>
    <xf numFmtId="165" fontId="30" fillId="52" borderId="19" xfId="106" applyFont="1" applyFill="1" applyBorder="1" applyAlignment="1">
      <alignment horizontal="right" vertical="center"/>
    </xf>
    <xf numFmtId="165" fontId="30" fillId="52" borderId="20" xfId="106" applyFont="1" applyFill="1" applyBorder="1" applyAlignment="1">
      <alignment horizontal="right" vertical="center"/>
    </xf>
    <xf numFmtId="207" fontId="4" fillId="50" borderId="0" xfId="0" applyNumberFormat="1" applyFont="1" applyFill="1" applyAlignment="1">
      <alignment/>
    </xf>
    <xf numFmtId="207" fontId="9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37" fontId="34" fillId="0" borderId="0" xfId="0" applyFont="1" applyAlignment="1">
      <alignment vertical="center"/>
    </xf>
    <xf numFmtId="165" fontId="11" fillId="0" borderId="0" xfId="106" applyFont="1" applyAlignment="1">
      <alignment vertical="center"/>
    </xf>
    <xf numFmtId="49" fontId="33" fillId="49" borderId="4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7" fontId="0" fillId="0" borderId="0" xfId="0" applyFont="1" applyBorder="1" applyAlignment="1">
      <alignment horizontal="center" vertical="center"/>
    </xf>
    <xf numFmtId="37" fontId="0" fillId="50" borderId="0" xfId="0" applyFont="1" applyFill="1" applyBorder="1" applyAlignment="1">
      <alignment horizontal="center" vertical="center"/>
    </xf>
    <xf numFmtId="169" fontId="13" fillId="50" borderId="0" xfId="106" applyNumberFormat="1" applyFont="1" applyFill="1" applyBorder="1" applyAlignment="1">
      <alignment horizontal="left" vertical="center"/>
    </xf>
    <xf numFmtId="37" fontId="0" fillId="52" borderId="81" xfId="0" applyFont="1" applyFill="1" applyBorder="1" applyAlignment="1">
      <alignment horizontal="center" vertical="center"/>
    </xf>
    <xf numFmtId="169" fontId="13" fillId="8" borderId="81" xfId="106" applyNumberFormat="1" applyFont="1" applyFill="1" applyBorder="1" applyAlignment="1">
      <alignment horizontal="left" vertical="center"/>
    </xf>
    <xf numFmtId="37" fontId="4" fillId="0" borderId="0" xfId="0" applyFont="1" applyAlignment="1">
      <alignment horizontal="center" vertical="center"/>
    </xf>
    <xf numFmtId="177" fontId="30" fillId="52" borderId="20" xfId="81" applyNumberFormat="1" applyFont="1" applyFill="1" applyBorder="1" applyAlignment="1">
      <alignment horizontal="right" vertical="center"/>
      <protection/>
    </xf>
    <xf numFmtId="177" fontId="30" fillId="52" borderId="84" xfId="81" applyNumberFormat="1" applyFont="1" applyFill="1" applyBorder="1" applyAlignment="1">
      <alignment horizontal="right" vertical="center"/>
      <protection/>
    </xf>
    <xf numFmtId="176" fontId="30" fillId="52" borderId="84" xfId="81" applyNumberFormat="1" applyFont="1" applyFill="1" applyBorder="1">
      <alignment/>
      <protection/>
    </xf>
    <xf numFmtId="182" fontId="4" fillId="0" borderId="84" xfId="0" applyNumberFormat="1" applyFont="1" applyBorder="1" applyAlignment="1">
      <alignment/>
    </xf>
    <xf numFmtId="207" fontId="7" fillId="50" borderId="20" xfId="0" applyNumberFormat="1" applyFont="1" applyFill="1" applyBorder="1" applyAlignment="1">
      <alignment/>
    </xf>
    <xf numFmtId="207" fontId="7" fillId="50" borderId="84" xfId="0" applyNumberFormat="1" applyFont="1" applyFill="1" applyBorder="1" applyAlignment="1">
      <alignment/>
    </xf>
    <xf numFmtId="169" fontId="81" fillId="49" borderId="60" xfId="106" applyNumberFormat="1" applyFont="1" applyFill="1" applyBorder="1" applyAlignment="1">
      <alignment horizontal="right" vertical="center"/>
    </xf>
    <xf numFmtId="37" fontId="30" fillId="0" borderId="19" xfId="0" applyFont="1" applyBorder="1" applyAlignment="1">
      <alignment vertical="center"/>
    </xf>
    <xf numFmtId="37" fontId="30" fillId="0" borderId="23" xfId="0" applyFont="1" applyBorder="1" applyAlignment="1">
      <alignment vertical="center"/>
    </xf>
    <xf numFmtId="37" fontId="30" fillId="0" borderId="21" xfId="0" applyFont="1" applyBorder="1" applyAlignment="1">
      <alignment vertical="center"/>
    </xf>
    <xf numFmtId="4" fontId="11" fillId="0" borderId="61" xfId="106" applyNumberFormat="1" applyFont="1" applyBorder="1" applyAlignment="1">
      <alignment horizontal="right" vertical="center"/>
    </xf>
    <xf numFmtId="4" fontId="11" fillId="0" borderId="25" xfId="106" applyNumberFormat="1" applyFont="1" applyBorder="1" applyAlignment="1">
      <alignment horizontal="right" vertical="center"/>
    </xf>
    <xf numFmtId="37" fontId="30" fillId="0" borderId="57" xfId="0" applyFont="1" applyBorder="1" applyAlignment="1">
      <alignment vertical="center"/>
    </xf>
    <xf numFmtId="3" fontId="11" fillId="0" borderId="59" xfId="0" applyNumberFormat="1" applyFont="1" applyBorder="1" applyAlignment="1">
      <alignment horizontal="right" vertical="center"/>
    </xf>
    <xf numFmtId="4" fontId="11" fillId="0" borderId="60" xfId="0" applyNumberFormat="1" applyFont="1" applyBorder="1" applyAlignment="1">
      <alignment horizontal="right" vertical="center"/>
    </xf>
    <xf numFmtId="37" fontId="30" fillId="0" borderId="19" xfId="0" applyFont="1" applyBorder="1" applyAlignment="1" quotePrefix="1">
      <alignment vertical="center"/>
    </xf>
    <xf numFmtId="4" fontId="11" fillId="0" borderId="61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173" fontId="30" fillId="0" borderId="88" xfId="0" applyNumberFormat="1" applyFont="1" applyBorder="1" applyAlignment="1">
      <alignment vertical="center"/>
    </xf>
    <xf numFmtId="39" fontId="0" fillId="0" borderId="89" xfId="0" applyNumberFormat="1" applyBorder="1" applyAlignment="1">
      <alignment/>
    </xf>
    <xf numFmtId="37" fontId="30" fillId="0" borderId="90" xfId="0" applyFont="1" applyBorder="1" applyAlignment="1">
      <alignment vertical="center"/>
    </xf>
    <xf numFmtId="37" fontId="0" fillId="0" borderId="91" xfId="0" applyBorder="1" applyAlignment="1">
      <alignment/>
    </xf>
    <xf numFmtId="37" fontId="30" fillId="0" borderId="92" xfId="0" applyFont="1" applyBorder="1" applyAlignment="1">
      <alignment vertical="center"/>
    </xf>
    <xf numFmtId="4" fontId="11" fillId="0" borderId="93" xfId="106" applyNumberFormat="1" applyFont="1" applyBorder="1" applyAlignment="1">
      <alignment horizontal="right" vertical="center"/>
    </xf>
    <xf numFmtId="37" fontId="11" fillId="0" borderId="40" xfId="0" applyFont="1" applyFill="1" applyBorder="1" applyAlignment="1">
      <alignment horizontal="center" vertical="center"/>
    </xf>
    <xf numFmtId="37" fontId="0" fillId="0" borderId="94" xfId="0" applyBorder="1" applyAlignment="1">
      <alignment vertical="top"/>
    </xf>
    <xf numFmtId="37" fontId="0" fillId="0" borderId="95" xfId="0" applyBorder="1" applyAlignment="1">
      <alignment vertical="top"/>
    </xf>
    <xf numFmtId="0" fontId="0" fillId="0" borderId="95" xfId="0" applyNumberFormat="1" applyBorder="1" applyAlignment="1">
      <alignment vertical="top"/>
    </xf>
    <xf numFmtId="37" fontId="0" fillId="0" borderId="96" xfId="0" applyBorder="1" applyAlignment="1">
      <alignment vertical="top"/>
    </xf>
    <xf numFmtId="0" fontId="0" fillId="0" borderId="97" xfId="0" applyNumberFormat="1" applyBorder="1" applyAlignment="1">
      <alignment vertical="top"/>
    </xf>
    <xf numFmtId="37" fontId="0" fillId="0" borderId="98" xfId="0" applyBorder="1" applyAlignment="1">
      <alignment vertical="top"/>
    </xf>
    <xf numFmtId="0" fontId="0" fillId="0" borderId="99" xfId="0" applyNumberFormat="1" applyBorder="1" applyAlignment="1">
      <alignment vertical="top"/>
    </xf>
    <xf numFmtId="37" fontId="0" fillId="0" borderId="94" xfId="0" applyBorder="1" applyAlignment="1">
      <alignment vertical="top"/>
    </xf>
    <xf numFmtId="37" fontId="0" fillId="0" borderId="95" xfId="0" applyBorder="1" applyAlignment="1">
      <alignment vertical="top"/>
    </xf>
    <xf numFmtId="37" fontId="0" fillId="0" borderId="0" xfId="0" applyAlignment="1">
      <alignment/>
    </xf>
    <xf numFmtId="10" fontId="0" fillId="0" borderId="0" xfId="85" applyNumberFormat="1" applyFont="1" applyAlignment="1">
      <alignment/>
    </xf>
    <xf numFmtId="37" fontId="0" fillId="0" borderId="0" xfId="0" applyBorder="1" applyAlignment="1">
      <alignment/>
    </xf>
    <xf numFmtId="37" fontId="82" fillId="0" borderId="0" xfId="0" applyFont="1" applyBorder="1" applyAlignment="1">
      <alignment horizontal="center" vertical="center" wrapText="1"/>
    </xf>
    <xf numFmtId="37" fontId="83" fillId="0" borderId="0" xfId="0" applyFont="1" applyBorder="1" applyAlignment="1">
      <alignment horizontal="center" vertical="center" wrapText="1"/>
    </xf>
    <xf numFmtId="37" fontId="84" fillId="0" borderId="0" xfId="0" applyFont="1" applyBorder="1" applyAlignment="1">
      <alignment horizontal="center" vertical="center" wrapText="1"/>
    </xf>
    <xf numFmtId="37" fontId="45" fillId="0" borderId="0" xfId="0" applyFont="1" applyBorder="1" applyAlignment="1">
      <alignment horizontal="center" vertical="center" wrapText="1"/>
    </xf>
    <xf numFmtId="37" fontId="0" fillId="0" borderId="0" xfId="0" applyBorder="1" applyAlignment="1">
      <alignment vertical="center" wrapText="1"/>
    </xf>
    <xf numFmtId="39" fontId="30" fillId="0" borderId="0" xfId="0" applyNumberFormat="1" applyFont="1" applyBorder="1" applyAlignment="1">
      <alignment horizontal="center" vertical="center"/>
    </xf>
    <xf numFmtId="169" fontId="11" fillId="49" borderId="0" xfId="106" applyNumberFormat="1" applyFont="1" applyFill="1" applyBorder="1" applyAlignment="1">
      <alignment horizontal="right" vertical="center"/>
    </xf>
    <xf numFmtId="169" fontId="81" fillId="49" borderId="0" xfId="106" applyNumberFormat="1" applyFont="1" applyFill="1" applyBorder="1" applyAlignment="1">
      <alignment horizontal="right" vertical="center"/>
    </xf>
    <xf numFmtId="39" fontId="9" fillId="0" borderId="0" xfId="0" applyNumberFormat="1" applyFont="1" applyAlignment="1">
      <alignment/>
    </xf>
    <xf numFmtId="37" fontId="0" fillId="0" borderId="0" xfId="0" applyBorder="1" applyAlignment="1">
      <alignment horizontal="center"/>
    </xf>
    <xf numFmtId="37" fontId="0" fillId="0" borderId="100" xfId="0" applyBorder="1" applyAlignment="1">
      <alignment horizontal="center"/>
    </xf>
    <xf numFmtId="37" fontId="0" fillId="0" borderId="0" xfId="0" applyAlignment="1">
      <alignment horizontal="center"/>
    </xf>
    <xf numFmtId="37" fontId="30" fillId="0" borderId="101" xfId="0" applyFont="1" applyBorder="1" applyAlignment="1">
      <alignment horizontal="left" vertical="center"/>
    </xf>
    <xf numFmtId="37" fontId="30" fillId="0" borderId="70" xfId="0" applyFont="1" applyBorder="1" applyAlignment="1">
      <alignment horizontal="left" vertical="center"/>
    </xf>
    <xf numFmtId="37" fontId="30" fillId="0" borderId="63" xfId="0" applyFont="1" applyBorder="1" applyAlignment="1">
      <alignment horizontal="left" vertical="center"/>
    </xf>
    <xf numFmtId="37" fontId="30" fillId="0" borderId="62" xfId="0" applyFont="1" applyBorder="1" applyAlignment="1">
      <alignment horizontal="left" vertical="center"/>
    </xf>
    <xf numFmtId="37" fontId="38" fillId="0" borderId="0" xfId="0" applyFont="1" applyAlignment="1">
      <alignment horizontal="center" vertical="center"/>
    </xf>
    <xf numFmtId="10" fontId="0" fillId="0" borderId="0" xfId="85" applyNumberFormat="1" applyFont="1" applyBorder="1" applyAlignment="1">
      <alignment horizontal="center"/>
    </xf>
    <xf numFmtId="37" fontId="38" fillId="0" borderId="50" xfId="0" applyFont="1" applyBorder="1" applyAlignment="1">
      <alignment horizontal="center" vertical="center"/>
    </xf>
    <xf numFmtId="37" fontId="38" fillId="0" borderId="47" xfId="0" applyFont="1" applyBorder="1" applyAlignment="1">
      <alignment horizontal="center" vertical="center"/>
    </xf>
    <xf numFmtId="37" fontId="38" fillId="0" borderId="102" xfId="0" applyFont="1" applyBorder="1" applyAlignment="1">
      <alignment horizontal="center" vertical="center"/>
    </xf>
    <xf numFmtId="37" fontId="31" fillId="22" borderId="0" xfId="0" applyFont="1" applyFill="1" applyAlignment="1">
      <alignment horizontal="center" vertical="center"/>
    </xf>
    <xf numFmtId="37" fontId="30" fillId="30" borderId="0" xfId="0" applyFont="1" applyFill="1" applyAlignment="1">
      <alignment horizontal="center" vertical="center"/>
    </xf>
    <xf numFmtId="39" fontId="31" fillId="0" borderId="42" xfId="0" applyNumberFormat="1" applyFont="1" applyBorder="1" applyAlignment="1">
      <alignment horizontal="center" vertical="center"/>
    </xf>
    <xf numFmtId="39" fontId="31" fillId="0" borderId="55" xfId="0" applyNumberFormat="1" applyFont="1" applyBorder="1" applyAlignment="1">
      <alignment horizontal="center" vertical="center"/>
    </xf>
    <xf numFmtId="37" fontId="11" fillId="30" borderId="34" xfId="0" applyFont="1" applyFill="1" applyBorder="1" applyAlignment="1">
      <alignment horizontal="center" vertical="center"/>
    </xf>
    <xf numFmtId="37" fontId="11" fillId="30" borderId="35" xfId="0" applyFont="1" applyFill="1" applyBorder="1" applyAlignment="1">
      <alignment horizontal="center" vertical="center"/>
    </xf>
    <xf numFmtId="37" fontId="11" fillId="30" borderId="79" xfId="0" applyFont="1" applyFill="1" applyBorder="1" applyAlignment="1">
      <alignment horizontal="center" vertical="center"/>
    </xf>
    <xf numFmtId="37" fontId="11" fillId="30" borderId="36" xfId="0" applyFont="1" applyFill="1" applyBorder="1" applyAlignment="1">
      <alignment horizontal="center" vertical="center"/>
    </xf>
    <xf numFmtId="37" fontId="11" fillId="22" borderId="77" xfId="0" applyFont="1" applyFill="1" applyBorder="1" applyAlignment="1">
      <alignment horizontal="left" vertical="center"/>
    </xf>
    <xf numFmtId="37" fontId="11" fillId="22" borderId="78" xfId="0" applyFont="1" applyFill="1" applyBorder="1" applyAlignment="1">
      <alignment horizontal="left" vertical="center"/>
    </xf>
    <xf numFmtId="169" fontId="11" fillId="53" borderId="76" xfId="0" applyNumberFormat="1" applyFont="1" applyFill="1" applyBorder="1" applyAlignment="1">
      <alignment horizontal="center" vertical="center"/>
    </xf>
    <xf numFmtId="169" fontId="11" fillId="53" borderId="77" xfId="0" applyNumberFormat="1" applyFont="1" applyFill="1" applyBorder="1" applyAlignment="1">
      <alignment horizontal="center" vertical="center"/>
    </xf>
    <xf numFmtId="37" fontId="33" fillId="49" borderId="0" xfId="0" applyFont="1" applyFill="1" applyAlignment="1">
      <alignment horizontal="center" vertical="center" wrapText="1"/>
    </xf>
    <xf numFmtId="37" fontId="30" fillId="50" borderId="0" xfId="81" applyFont="1" applyFill="1" applyAlignment="1">
      <alignment horizontal="center" vertical="center"/>
      <protection/>
    </xf>
    <xf numFmtId="207" fontId="30" fillId="50" borderId="0" xfId="81" applyNumberFormat="1" applyFont="1" applyFill="1" applyAlignment="1">
      <alignment horizontal="center" vertical="center"/>
      <protection/>
    </xf>
    <xf numFmtId="165" fontId="30" fillId="0" borderId="63" xfId="106" applyFont="1" applyBorder="1" applyAlignment="1">
      <alignment horizontal="left" vertical="center"/>
    </xf>
    <xf numFmtId="165" fontId="30" fillId="0" borderId="62" xfId="106" applyFont="1" applyBorder="1" applyAlignment="1">
      <alignment horizontal="left" vertical="center"/>
    </xf>
    <xf numFmtId="37" fontId="7" fillId="0" borderId="0" xfId="0" applyFont="1" applyAlignment="1">
      <alignment horizontal="center" vertical="center" wrapText="1"/>
    </xf>
    <xf numFmtId="37" fontId="38" fillId="0" borderId="42" xfId="0" applyFont="1" applyBorder="1" applyAlignment="1">
      <alignment horizontal="center" vertical="center"/>
    </xf>
    <xf numFmtId="37" fontId="11" fillId="50" borderId="0" xfId="0" applyFont="1" applyFill="1" applyAlignment="1">
      <alignment horizontal="center" vertical="center"/>
    </xf>
    <xf numFmtId="37" fontId="38" fillId="0" borderId="66" xfId="81" applyFont="1" applyBorder="1" applyAlignment="1">
      <alignment horizontal="center" vertical="center" wrapText="1"/>
      <protection/>
    </xf>
    <xf numFmtId="37" fontId="38" fillId="0" borderId="42" xfId="81" applyFont="1" applyBorder="1" applyAlignment="1">
      <alignment horizontal="center" vertical="center" wrapText="1"/>
      <protection/>
    </xf>
    <xf numFmtId="37" fontId="42" fillId="0" borderId="64" xfId="0" applyFont="1" applyBorder="1" applyAlignment="1">
      <alignment horizontal="center"/>
    </xf>
    <xf numFmtId="37" fontId="42" fillId="0" borderId="85" xfId="0" applyFont="1" applyBorder="1" applyAlignment="1">
      <alignment horizontal="center"/>
    </xf>
    <xf numFmtId="177" fontId="30" fillId="50" borderId="0" xfId="0" applyNumberFormat="1" applyFont="1" applyFill="1" applyAlignment="1">
      <alignment horizontal="center" vertical="center" wrapText="1"/>
    </xf>
    <xf numFmtId="177" fontId="30" fillId="50" borderId="43" xfId="0" applyNumberFormat="1" applyFont="1" applyFill="1" applyBorder="1" applyAlignment="1">
      <alignment horizontal="center" vertical="center" wrapText="1"/>
    </xf>
    <xf numFmtId="37" fontId="42" fillId="0" borderId="56" xfId="0" applyFont="1" applyBorder="1" applyAlignment="1">
      <alignment horizontal="center"/>
    </xf>
    <xf numFmtId="165" fontId="30" fillId="0" borderId="0" xfId="106" applyFont="1" applyAlignment="1">
      <alignment horizontal="left" vertical="center"/>
    </xf>
    <xf numFmtId="37" fontId="30" fillId="0" borderId="0" xfId="81" applyFont="1" applyAlignment="1">
      <alignment horizontal="center" vertical="center"/>
      <protection/>
    </xf>
    <xf numFmtId="177" fontId="30" fillId="50" borderId="0" xfId="81" applyNumberFormat="1" applyFont="1" applyFill="1" applyAlignment="1">
      <alignment horizontal="center" vertical="center" wrapText="1"/>
      <protection/>
    </xf>
    <xf numFmtId="37" fontId="33" fillId="0" borderId="42" xfId="0" applyFont="1" applyBorder="1" applyAlignment="1">
      <alignment horizontal="center" vertical="center" wrapText="1"/>
    </xf>
    <xf numFmtId="37" fontId="33" fillId="0" borderId="55" xfId="0" applyFont="1" applyBorder="1" applyAlignment="1">
      <alignment horizontal="center" vertical="center" wrapText="1"/>
    </xf>
    <xf numFmtId="176" fontId="38" fillId="0" borderId="0" xfId="0" applyNumberFormat="1" applyFont="1" applyAlignment="1">
      <alignment horizontal="center"/>
    </xf>
    <xf numFmtId="3" fontId="31" fillId="0" borderId="63" xfId="106" applyNumberFormat="1" applyFont="1" applyBorder="1" applyAlignment="1">
      <alignment horizontal="center" vertical="center" shrinkToFit="1"/>
    </xf>
    <xf numFmtId="3" fontId="31" fillId="0" borderId="62" xfId="106" applyNumberFormat="1" applyFont="1" applyBorder="1" applyAlignment="1">
      <alignment horizontal="center" vertical="center" shrinkToFit="1"/>
    </xf>
    <xf numFmtId="37" fontId="9" fillId="0" borderId="0" xfId="0" applyFont="1" applyAlignment="1">
      <alignment horizontal="center"/>
    </xf>
    <xf numFmtId="37" fontId="38" fillId="6" borderId="33" xfId="0" applyFont="1" applyFill="1" applyBorder="1" applyAlignment="1">
      <alignment horizontal="center" vertical="center"/>
    </xf>
    <xf numFmtId="37" fontId="38" fillId="6" borderId="35" xfId="0" applyFont="1" applyFill="1" applyBorder="1" applyAlignment="1">
      <alignment horizontal="center" vertical="center"/>
    </xf>
    <xf numFmtId="37" fontId="38" fillId="6" borderId="36" xfId="0" applyFont="1" applyFill="1" applyBorder="1" applyAlignment="1">
      <alignment horizontal="center" vertical="center"/>
    </xf>
    <xf numFmtId="3" fontId="31" fillId="0" borderId="20" xfId="106" applyNumberFormat="1" applyFont="1" applyBorder="1" applyAlignment="1">
      <alignment horizontal="center" vertical="center" shrinkToFit="1"/>
    </xf>
    <xf numFmtId="3" fontId="31" fillId="0" borderId="30" xfId="106" applyNumberFormat="1" applyFont="1" applyBorder="1" applyAlignment="1">
      <alignment horizontal="center" vertical="center" shrinkToFit="1"/>
    </xf>
    <xf numFmtId="37" fontId="31" fillId="0" borderId="27" xfId="0" applyFont="1" applyBorder="1" applyAlignment="1">
      <alignment horizontal="center" vertical="center"/>
    </xf>
    <xf numFmtId="37" fontId="31" fillId="0" borderId="20" xfId="0" applyFont="1" applyBorder="1" applyAlignment="1">
      <alignment horizontal="center" vertical="center"/>
    </xf>
    <xf numFmtId="3" fontId="31" fillId="0" borderId="30" xfId="106" applyNumberFormat="1" applyFont="1" applyBorder="1" applyAlignment="1">
      <alignment horizontal="right" vertical="center" indent="1"/>
    </xf>
    <xf numFmtId="3" fontId="31" fillId="0" borderId="27" xfId="106" applyNumberFormat="1" applyFont="1" applyBorder="1" applyAlignment="1">
      <alignment horizontal="right" vertical="center" indent="1"/>
    </xf>
    <xf numFmtId="37" fontId="44" fillId="0" borderId="0" xfId="0" applyFont="1" applyAlignment="1">
      <alignment horizontal="center" vertical="center"/>
    </xf>
    <xf numFmtId="37" fontId="38" fillId="6" borderId="34" xfId="0" applyFont="1" applyFill="1" applyBorder="1" applyAlignment="1">
      <alignment horizontal="center" vertical="center"/>
    </xf>
    <xf numFmtId="3" fontId="31" fillId="0" borderId="49" xfId="106" applyNumberFormat="1" applyFont="1" applyBorder="1" applyAlignment="1">
      <alignment horizontal="right" vertical="center"/>
    </xf>
    <xf numFmtId="3" fontId="31" fillId="0" borderId="63" xfId="106" applyNumberFormat="1" applyFont="1" applyBorder="1" applyAlignment="1">
      <alignment horizontal="right" vertical="center"/>
    </xf>
    <xf numFmtId="37" fontId="31" fillId="0" borderId="49" xfId="0" applyFont="1" applyBorder="1" applyAlignment="1">
      <alignment horizontal="center" vertical="center"/>
    </xf>
    <xf numFmtId="37" fontId="31" fillId="0" borderId="63" xfId="0" applyFont="1" applyBorder="1" applyAlignment="1">
      <alignment horizontal="center" vertical="center"/>
    </xf>
    <xf numFmtId="37" fontId="11" fillId="0" borderId="77" xfId="0" applyFont="1" applyBorder="1" applyAlignment="1">
      <alignment horizontal="left" vertical="center" indent="1"/>
    </xf>
    <xf numFmtId="37" fontId="11" fillId="0" borderId="78" xfId="0" applyFont="1" applyBorder="1" applyAlignment="1">
      <alignment horizontal="left" vertical="center" indent="1"/>
    </xf>
    <xf numFmtId="3" fontId="31" fillId="0" borderId="27" xfId="106" applyNumberFormat="1" applyFont="1" applyBorder="1" applyAlignment="1">
      <alignment horizontal="center" vertical="center" shrinkToFit="1"/>
    </xf>
    <xf numFmtId="37" fontId="31" fillId="0" borderId="30" xfId="0" applyFont="1" applyBorder="1" applyAlignment="1">
      <alignment horizontal="center" vertical="center"/>
    </xf>
    <xf numFmtId="37" fontId="31" fillId="0" borderId="19" xfId="0" applyFont="1" applyBorder="1" applyAlignment="1">
      <alignment horizontal="center" vertical="center"/>
    </xf>
    <xf numFmtId="3" fontId="31" fillId="0" borderId="49" xfId="106" applyNumberFormat="1" applyFont="1" applyBorder="1" applyAlignment="1">
      <alignment horizontal="right" vertical="center" indent="1"/>
    </xf>
    <xf numFmtId="3" fontId="31" fillId="0" borderId="19" xfId="106" applyNumberFormat="1" applyFont="1" applyBorder="1" applyAlignment="1">
      <alignment horizontal="center" vertical="center"/>
    </xf>
    <xf numFmtId="3" fontId="31" fillId="0" borderId="30" xfId="106" applyNumberFormat="1" applyFont="1" applyBorder="1" applyAlignment="1">
      <alignment horizontal="center" vertical="center"/>
    </xf>
    <xf numFmtId="170" fontId="34" fillId="6" borderId="75" xfId="0" applyNumberFormat="1" applyFont="1" applyFill="1" applyBorder="1" applyAlignment="1">
      <alignment horizontal="center" vertical="center"/>
    </xf>
    <xf numFmtId="170" fontId="34" fillId="6" borderId="101" xfId="0" applyNumberFormat="1" applyFont="1" applyFill="1" applyBorder="1" applyAlignment="1">
      <alignment horizontal="center" vertical="center"/>
    </xf>
    <xf numFmtId="170" fontId="34" fillId="6" borderId="70" xfId="0" applyNumberFormat="1" applyFont="1" applyFill="1" applyBorder="1" applyAlignment="1">
      <alignment horizontal="center" vertical="center"/>
    </xf>
    <xf numFmtId="168" fontId="40" fillId="6" borderId="75" xfId="0" applyNumberFormat="1" applyFont="1" applyFill="1" applyBorder="1" applyAlignment="1">
      <alignment horizontal="center" vertical="center"/>
    </xf>
    <xf numFmtId="168" fontId="40" fillId="6" borderId="101" xfId="0" applyNumberFormat="1" applyFont="1" applyFill="1" applyBorder="1" applyAlignment="1">
      <alignment horizontal="center" vertical="center"/>
    </xf>
    <xf numFmtId="37" fontId="31" fillId="6" borderId="101" xfId="0" applyFont="1" applyFill="1" applyBorder="1" applyAlignment="1">
      <alignment horizontal="left" vertical="center" indent="1"/>
    </xf>
    <xf numFmtId="37" fontId="31" fillId="6" borderId="66" xfId="0" applyFont="1" applyFill="1" applyBorder="1" applyAlignment="1">
      <alignment horizontal="left" vertical="center" indent="1"/>
    </xf>
    <xf numFmtId="37" fontId="31" fillId="6" borderId="34" xfId="0" applyFont="1" applyFill="1" applyBorder="1" applyAlignment="1">
      <alignment horizontal="center" vertical="center"/>
    </xf>
    <xf numFmtId="37" fontId="31" fillId="6" borderId="36" xfId="0" applyFont="1" applyFill="1" applyBorder="1" applyAlignment="1">
      <alignment horizontal="center" vertical="center"/>
    </xf>
    <xf numFmtId="37" fontId="11" fillId="30" borderId="75" xfId="0" applyFont="1" applyFill="1" applyBorder="1" applyAlignment="1">
      <alignment vertical="center"/>
    </xf>
    <xf numFmtId="37" fontId="11" fillId="30" borderId="101" xfId="0" applyFont="1" applyFill="1" applyBorder="1" applyAlignment="1">
      <alignment vertical="center"/>
    </xf>
    <xf numFmtId="37" fontId="11" fillId="30" borderId="70" xfId="0" applyFont="1" applyFill="1" applyBorder="1" applyAlignment="1">
      <alignment vertical="center"/>
    </xf>
    <xf numFmtId="37" fontId="31" fillId="6" borderId="35" xfId="0" applyFont="1" applyFill="1" applyBorder="1" applyAlignment="1">
      <alignment horizontal="center" vertical="center"/>
    </xf>
    <xf numFmtId="37" fontId="31" fillId="6" borderId="79" xfId="0" applyFont="1" applyFill="1" applyBorder="1" applyAlignment="1">
      <alignment horizontal="center" vertical="center"/>
    </xf>
    <xf numFmtId="37" fontId="31" fillId="15" borderId="64" xfId="0" applyFont="1" applyFill="1" applyBorder="1" applyAlignment="1">
      <alignment vertical="center"/>
    </xf>
    <xf numFmtId="3" fontId="31" fillId="0" borderId="76" xfId="106" applyNumberFormat="1" applyFont="1" applyBorder="1" applyAlignment="1">
      <alignment horizontal="right" vertical="center"/>
    </xf>
    <xf numFmtId="3" fontId="31" fillId="0" borderId="77" xfId="106" applyNumberFormat="1" applyFont="1" applyBorder="1" applyAlignment="1">
      <alignment horizontal="right" vertical="center"/>
    </xf>
    <xf numFmtId="37" fontId="31" fillId="6" borderId="33" xfId="0" applyFont="1" applyFill="1" applyBorder="1" applyAlignment="1">
      <alignment horizontal="center" vertical="center"/>
    </xf>
    <xf numFmtId="9" fontId="31" fillId="0" borderId="49" xfId="85" applyFont="1" applyBorder="1" applyAlignment="1">
      <alignment horizontal="center" vertical="center"/>
    </xf>
    <xf numFmtId="9" fontId="31" fillId="0" borderId="63" xfId="85" applyFont="1" applyBorder="1" applyAlignment="1">
      <alignment horizontal="center" vertical="center"/>
    </xf>
    <xf numFmtId="168" fontId="43" fillId="15" borderId="103" xfId="76" applyNumberFormat="1" applyFont="1" applyFill="1" applyBorder="1" applyAlignment="1">
      <alignment horizontal="center" vertical="center"/>
    </xf>
    <xf numFmtId="168" fontId="43" fillId="15" borderId="104" xfId="76" applyNumberFormat="1" applyFont="1" applyFill="1" applyBorder="1" applyAlignment="1">
      <alignment horizontal="center" vertical="center"/>
    </xf>
    <xf numFmtId="170" fontId="34" fillId="6" borderId="76" xfId="0" applyNumberFormat="1" applyFont="1" applyFill="1" applyBorder="1" applyAlignment="1">
      <alignment horizontal="center" vertical="center"/>
    </xf>
    <xf numFmtId="170" fontId="34" fillId="6" borderId="77" xfId="0" applyNumberFormat="1" applyFont="1" applyFill="1" applyBorder="1" applyAlignment="1">
      <alignment horizontal="center" vertical="center"/>
    </xf>
    <xf numFmtId="170" fontId="34" fillId="6" borderId="78" xfId="0" applyNumberFormat="1" applyFont="1" applyFill="1" applyBorder="1" applyAlignment="1">
      <alignment horizontal="center" vertical="center"/>
    </xf>
    <xf numFmtId="168" fontId="40" fillId="6" borderId="76" xfId="0" applyNumberFormat="1" applyFont="1" applyFill="1" applyBorder="1" applyAlignment="1">
      <alignment horizontal="center" vertical="center"/>
    </xf>
    <xf numFmtId="168" fontId="40" fillId="6" borderId="77" xfId="0" applyNumberFormat="1" applyFont="1" applyFill="1" applyBorder="1" applyAlignment="1">
      <alignment horizontal="center" vertical="center"/>
    </xf>
    <xf numFmtId="37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4" fontId="11" fillId="0" borderId="0" xfId="106" applyNumberFormat="1" applyFont="1" applyFill="1" applyBorder="1" applyAlignment="1">
      <alignment horizontal="right" vertical="center"/>
    </xf>
    <xf numFmtId="37" fontId="33" fillId="0" borderId="0" xfId="0" applyFont="1" applyAlignment="1">
      <alignment vertical="center"/>
    </xf>
    <xf numFmtId="37" fontId="33" fillId="0" borderId="42" xfId="0" applyFont="1" applyBorder="1" applyAlignment="1">
      <alignment horizontal="center" vertical="center"/>
    </xf>
    <xf numFmtId="37" fontId="33" fillId="0" borderId="0" xfId="0" applyFont="1" applyAlignment="1">
      <alignment vertic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Neutra 2" xfId="78"/>
    <cellStyle name="Neutro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Ruim" xfId="86"/>
    <cellStyle name="Saída" xfId="87"/>
    <cellStyle name="Saída 2" xfId="88"/>
    <cellStyle name="Comma [0]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  <cellStyle name="Vírgula 2" xfId="10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odigo">
      <sharedItems containsMixedTypes="0"/>
    </cacheField>
    <cacheField name="Nome">
      <sharedItems containsMixedTypes="0"/>
    </cacheField>
    <cacheField name="Nome Usual">
      <sharedItems containsMixedTypes="0"/>
    </cacheField>
    <cacheField name="Sexo">
      <sharedItems containsMixedTypes="0"/>
    </cacheField>
    <cacheField name="Cargo">
      <sharedItems containsBlank="1" containsMixedTypes="0" count="79">
        <s v="Telefonista/44 00220001"/>
        <s v="Auxiliar Financeiro/44 00120002"/>
        <s v="Analista Financeiro Contábil Pleno/44 002"/>
        <s v="Aux. Adm. Aprendiz/44 01080001"/>
        <s v="Mensageiro/44 00340001"/>
        <s v="Analista de R. H./44 00910001"/>
        <s v="Gerente de Recursos Humanos/44 00130003"/>
        <s v="Téc. de Segurança do Trabalho Junior/44 00260005"/>
        <s v="Médico do Trabalho/44 00240003"/>
        <s v="Téc. de Segurança do Trabalho Senior/44 00460001"/>
        <s v="Téc. de Segurança do Trabalho Pleno/44 00430002"/>
        <s v="Eng. de Seg. do Trabalho/44 00230001"/>
        <s v="Téc em Enfer. do Trabalho/44 03180001"/>
        <s v="Téc. de Segurança do Trabalho Junior/44 00260002"/>
        <s v="Téc. de Segurança do Trabalho Junior/44 00260006"/>
        <s v="Arrecadador Junior/44 00380001"/>
        <s v="Contador/44 00050001"/>
        <s v="Assistente Contábil/44 00060002"/>
        <s v="Analista de Treinam. e Desenvolvimento/44 03100004"/>
        <s v="Supervisor de Arrecadação/44 00190001"/>
        <s v="Arrecadador Pleno/44 00200001"/>
        <s v="Supervisor (a) Comercial/44 02480004"/>
        <s v="Atendente Comercial Pleno/44 03010003"/>
        <s v="Atendente Comercial Junior/44 03000003"/>
        <m/>
        <s v="Mecânico de Salão Senior/44 00550003"/>
        <s v="Mec. Ajustador Motor/44 00740003"/>
        <s v="Almoxarife Senior/44 01510004"/>
        <s v="Mecânico de Salão Pleno/44 00540002"/>
        <s v="Mecânico de Salão Junior/44 00810011"/>
        <s v="Eletricista Pleno/44 00750002"/>
        <s v="Eletricista Senior/44 01330001"/>
        <s v="Latoeiro Pleno/44 00770001"/>
        <s v="Supervisor de Lataria/44 01370001"/>
        <s v="Latoeiro Sênior/44 01350001"/>
        <s v="Manobrista/44 01600001"/>
        <s v="Lubrificador / Abastecedor Pleno/44 00710001"/>
        <s v="Lubrificador / Abastecedor Junior/44 00720001"/>
        <s v="Pintor Pleno/44 01110001"/>
        <s v="Encarregado de P.C.M. e Logistica/44 02800001"/>
        <s v="Assistente de PCM Senior/44 01730001"/>
        <s v="Assistente de P.C.M. Junior/44 01620004"/>
        <s v="Recepcionista de veículos/44 01650002"/>
        <s v="Zelador(a)/44 00390002"/>
        <s v="Almoxarife Junior/44 01530003"/>
        <s v="Almoxarife Pleno/."/>
        <s v="Supervisor de Almoxarifado/44 00940001"/>
        <s v="Comprador(a)/44 00950002"/>
        <s v="Supervisor de Oficina Pleno/44 00610007"/>
        <s v="Gerente de Manutenção/44 06000001"/>
        <s v="Supervisor de Manutenção/44 00880004"/>
        <s v="Chefe de Oficina/44 02700001"/>
        <s v="Borracheiro Senior/44 01190001"/>
        <s v="Borracheiro Pleno/44 01180001"/>
        <s v="Borracheiro Pleno/44 01180005"/>
        <s v="Torneiro Mecânico/44 01640002"/>
        <s v="Aux. de Serv. Gerais/44 01270002"/>
        <s v="Líder de Manutenção Predial/Nível I"/>
        <s v="Lavador de Veiculos/44 00680001"/>
        <s v="Lavador de Veículos Lider/44 01290001"/>
        <s v="Borracheiro Junior/44 01170001"/>
        <s v="Motorista Junior/."/>
        <s v="Auditor (a) de Tráfego Senior/44 03160001"/>
        <s v="Controlador de C.C.O. Pleno/44 02570003"/>
        <s v="Gerente de Trafego/44 04000001"/>
        <s v="Controlador de C.C.O Júnior/44 02570001"/>
        <s v="Instrutor de Motoristas/44 02550001"/>
        <s v="Aux. Administrativo/44 02410003"/>
        <s v="Analista de Apoio/44 03060001"/>
        <s v="Recepcionista de Portaria/44 03300002"/>
        <s v="Coordenador de Tráfego Pleno/44 00890001"/>
        <s v="Coordenador de Trafego Junior/44 00490001"/>
        <s v="Auditor (a) de Tráfego Junior/44 03170002"/>
        <s v="Motorista Pleno/."/>
        <s v="Trocador (a)/44 00310001"/>
        <s v="Trocador (a)/44 00310002"/>
        <s v="Trocador (a)/44 0031 003 Reabilitado Pl"/>
        <s v="Trocador (a)/44 00310004 Reabilitado Jr"/>
        <s v="Arrecadador Junior/44 00380002"/>
      </sharedItems>
    </cacheField>
    <cacheField name="N?Cession?r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4" cacheId="5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U16:V97" firstHeaderRow="2" firstDataRow="2" firstDataCol="1"/>
  <pivotFields count="6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80">
        <item x="44"/>
        <item x="45"/>
        <item x="27"/>
        <item x="68"/>
        <item x="5"/>
        <item x="18"/>
        <item x="2"/>
        <item x="15"/>
        <item x="78"/>
        <item x="20"/>
        <item x="17"/>
        <item x="41"/>
        <item x="40"/>
        <item x="23"/>
        <item x="22"/>
        <item x="72"/>
        <item x="62"/>
        <item x="3"/>
        <item x="67"/>
        <item x="56"/>
        <item x="1"/>
        <item x="60"/>
        <item x="53"/>
        <item x="54"/>
        <item x="52"/>
        <item x="51"/>
        <item x="47"/>
        <item x="16"/>
        <item x="65"/>
        <item x="63"/>
        <item x="71"/>
        <item x="70"/>
        <item x="30"/>
        <item x="31"/>
        <item x="39"/>
        <item x="11"/>
        <item x="49"/>
        <item x="6"/>
        <item x="64"/>
        <item x="66"/>
        <item x="32"/>
        <item x="34"/>
        <item x="59"/>
        <item x="58"/>
        <item x="57"/>
        <item x="37"/>
        <item x="36"/>
        <item x="35"/>
        <item x="26"/>
        <item x="29"/>
        <item x="28"/>
        <item x="25"/>
        <item x="8"/>
        <item x="4"/>
        <item x="61"/>
        <item x="73"/>
        <item x="38"/>
        <item x="69"/>
        <item x="42"/>
        <item x="21"/>
        <item x="46"/>
        <item x="19"/>
        <item x="33"/>
        <item x="50"/>
        <item x="48"/>
        <item x="12"/>
        <item x="13"/>
        <item x="7"/>
        <item x="14"/>
        <item x="10"/>
        <item x="9"/>
        <item x="0"/>
        <item x="55"/>
        <item x="76"/>
        <item x="74"/>
        <item x="75"/>
        <item x="77"/>
        <item x="43"/>
        <item x="24"/>
        <item t="default"/>
      </items>
    </pivotField>
    <pivotField compact="0" outline="0" showAll="0"/>
  </pivotFields>
  <rowFields count="1">
    <field x="4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Items count="1">
    <i/>
  </colItems>
  <dataFields count="1">
    <dataField name="RELA??O DA FOLHA DE PAGAMENTO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97"/>
  <sheetViews>
    <sheetView showGridLines="0" zoomScale="106" zoomScaleNormal="106" zoomScalePageLayoutView="0" workbookViewId="0" topLeftCell="R100">
      <selection activeCell="AA16" sqref="AA15:AA1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14.00390625" style="0" customWidth="1"/>
    <col min="4" max="4" width="13.375" style="0" customWidth="1"/>
    <col min="5" max="5" width="14.00390625" style="0" customWidth="1"/>
    <col min="6" max="6" width="11.625" style="0" customWidth="1"/>
    <col min="7" max="7" width="11.25390625" style="0" customWidth="1"/>
    <col min="8" max="8" width="11.625" style="0" customWidth="1"/>
    <col min="9" max="9" width="14.50390625" style="0" customWidth="1"/>
    <col min="10" max="10" width="13.25390625" style="0" customWidth="1"/>
    <col min="11" max="11" width="11.875" style="0" customWidth="1"/>
    <col min="12" max="12" width="7.875" style="0" customWidth="1"/>
    <col min="13" max="13" width="2.625" style="0" customWidth="1"/>
    <col min="14" max="14" width="15.625" style="0" customWidth="1"/>
    <col min="15" max="15" width="8.625" style="0" customWidth="1"/>
    <col min="16" max="16" width="2.625" style="0" customWidth="1"/>
    <col min="17" max="17" width="15.625" style="0" customWidth="1"/>
    <col min="18" max="18" width="8.625" style="0" customWidth="1"/>
    <col min="19" max="19" width="2.625" style="0" customWidth="1"/>
    <col min="20" max="20" width="8.875" style="0" customWidth="1"/>
    <col min="21" max="21" width="36.125" style="0" customWidth="1"/>
  </cols>
  <sheetData>
    <row r="1" ht="13.5" customHeight="1"/>
    <row r="2" spans="2:19" ht="13.5" customHeight="1">
      <c r="B2" s="443" t="s">
        <v>118</v>
      </c>
      <c r="C2" s="443"/>
      <c r="D2" s="443"/>
      <c r="E2" s="443"/>
      <c r="F2" s="443"/>
      <c r="G2" s="443"/>
      <c r="H2" s="443"/>
      <c r="I2" s="443"/>
      <c r="J2" s="443"/>
      <c r="K2" s="443"/>
      <c r="M2" s="440" t="s">
        <v>145</v>
      </c>
      <c r="N2" s="441"/>
      <c r="O2" s="441"/>
      <c r="P2" s="441"/>
      <c r="Q2" s="441"/>
      <c r="R2" s="441"/>
      <c r="S2" s="442"/>
    </row>
    <row r="3" spans="4:19" ht="13.5" customHeight="1">
      <c r="D3" s="447" t="s">
        <v>34</v>
      </c>
      <c r="E3" s="448"/>
      <c r="F3" s="448"/>
      <c r="G3" s="449"/>
      <c r="H3" s="447" t="s">
        <v>35</v>
      </c>
      <c r="I3" s="448"/>
      <c r="J3" s="448"/>
      <c r="K3" s="450"/>
      <c r="L3" s="302"/>
      <c r="M3" s="77"/>
      <c r="S3" s="78"/>
    </row>
    <row r="4" spans="2:24" ht="13.5" customHeight="1">
      <c r="B4" s="445"/>
      <c r="C4" s="446"/>
      <c r="D4" s="23" t="s">
        <v>25</v>
      </c>
      <c r="E4" s="15" t="s">
        <v>32</v>
      </c>
      <c r="F4" s="15" t="s">
        <v>33</v>
      </c>
      <c r="G4" s="16" t="s">
        <v>26</v>
      </c>
      <c r="H4" s="14" t="s">
        <v>25</v>
      </c>
      <c r="I4" s="15" t="s">
        <v>32</v>
      </c>
      <c r="J4" s="15" t="s">
        <v>33</v>
      </c>
      <c r="K4" s="19" t="s">
        <v>26</v>
      </c>
      <c r="L4" s="303"/>
      <c r="M4" s="77"/>
      <c r="N4" s="206" t="s">
        <v>53</v>
      </c>
      <c r="O4" s="207"/>
      <c r="P4" s="69"/>
      <c r="Q4" s="206" t="s">
        <v>54</v>
      </c>
      <c r="R4" s="207"/>
      <c r="S4" s="78"/>
      <c r="V4" s="529"/>
      <c r="W4" s="529"/>
      <c r="X4" s="529"/>
    </row>
    <row r="5" spans="2:24" s="7" customFormat="1" ht="13.5" customHeight="1">
      <c r="B5" s="27" t="s">
        <v>29</v>
      </c>
      <c r="C5" s="279">
        <f>H25</f>
        <v>255</v>
      </c>
      <c r="D5" s="12">
        <v>0</v>
      </c>
      <c r="E5" s="274">
        <v>6558.833</v>
      </c>
      <c r="F5" s="274">
        <v>35909.313</v>
      </c>
      <c r="G5" s="391">
        <v>3566.867</v>
      </c>
      <c r="H5" s="12">
        <f aca="true" t="shared" si="0" ref="H5:K7">D5*$C5</f>
        <v>0</v>
      </c>
      <c r="I5" s="13">
        <f>E5*$C5</f>
        <v>1672502.4149999998</v>
      </c>
      <c r="J5" s="13">
        <f t="shared" si="0"/>
        <v>9156874.815000001</v>
      </c>
      <c r="K5" s="20">
        <f t="shared" si="0"/>
        <v>909551.0850000001</v>
      </c>
      <c r="L5" s="304"/>
      <c r="M5" s="77"/>
      <c r="N5" s="210" t="s">
        <v>13</v>
      </c>
      <c r="O5" s="282">
        <v>2686.05</v>
      </c>
      <c r="P5" s="67"/>
      <c r="Q5" s="403" t="s">
        <v>13</v>
      </c>
      <c r="R5" s="404">
        <v>2413.75</v>
      </c>
      <c r="S5" s="78"/>
      <c r="T5" s="286" t="s">
        <v>146</v>
      </c>
      <c r="V5" s="530"/>
      <c r="W5" s="530"/>
      <c r="X5" s="530"/>
    </row>
    <row r="6" spans="2:24" ht="13.5" customHeight="1">
      <c r="B6" s="28" t="s">
        <v>30</v>
      </c>
      <c r="C6" s="280">
        <v>49</v>
      </c>
      <c r="D6" s="10">
        <v>0</v>
      </c>
      <c r="E6" s="275">
        <v>7584.519</v>
      </c>
      <c r="F6" s="275">
        <v>27371.382</v>
      </c>
      <c r="G6" s="276">
        <v>2926.841</v>
      </c>
      <c r="H6" s="12">
        <f t="shared" si="0"/>
        <v>0</v>
      </c>
      <c r="I6" s="11">
        <f>E6*$C6</f>
        <v>371641.431</v>
      </c>
      <c r="J6" s="11">
        <f t="shared" si="0"/>
        <v>1341197.718</v>
      </c>
      <c r="K6" s="21">
        <f t="shared" si="0"/>
        <v>143415.209</v>
      </c>
      <c r="L6" s="303"/>
      <c r="M6" s="77"/>
      <c r="N6" s="112" t="s">
        <v>14</v>
      </c>
      <c r="O6" s="282">
        <v>2226.38</v>
      </c>
      <c r="P6" s="67"/>
      <c r="Q6" s="405" t="s">
        <v>14</v>
      </c>
      <c r="R6" s="406">
        <v>1882.41</v>
      </c>
      <c r="S6" s="78"/>
      <c r="V6" s="529"/>
      <c r="W6" s="529"/>
      <c r="X6" s="529"/>
    </row>
    <row r="7" spans="2:24" ht="13.5" customHeight="1">
      <c r="B7" s="29" t="s">
        <v>31</v>
      </c>
      <c r="C7" s="281">
        <v>63</v>
      </c>
      <c r="D7" s="26">
        <v>0</v>
      </c>
      <c r="E7" s="277">
        <v>8134.12</v>
      </c>
      <c r="F7" s="277">
        <v>14883.951</v>
      </c>
      <c r="G7" s="278">
        <v>1848.089</v>
      </c>
      <c r="H7" s="12">
        <f t="shared" si="0"/>
        <v>0</v>
      </c>
      <c r="I7" s="17">
        <f t="shared" si="0"/>
        <v>512449.56</v>
      </c>
      <c r="J7" s="17">
        <f t="shared" si="0"/>
        <v>937688.913</v>
      </c>
      <c r="K7" s="22">
        <f t="shared" si="0"/>
        <v>116429.60699999999</v>
      </c>
      <c r="L7" s="303"/>
      <c r="M7" s="77"/>
      <c r="N7" s="211" t="s">
        <v>15</v>
      </c>
      <c r="O7" s="282">
        <v>1375.06</v>
      </c>
      <c r="P7" s="67"/>
      <c r="Q7" s="405" t="s">
        <v>15</v>
      </c>
      <c r="R7" s="406">
        <v>1030.41</v>
      </c>
      <c r="S7" s="78"/>
      <c r="V7" s="529"/>
      <c r="W7" s="529"/>
      <c r="X7" s="529"/>
    </row>
    <row r="8" spans="3:24" ht="13.5" customHeight="1">
      <c r="C8" s="24"/>
      <c r="D8" s="25"/>
      <c r="E8" s="286" t="s">
        <v>117</v>
      </c>
      <c r="F8" s="434" t="s">
        <v>22</v>
      </c>
      <c r="G8" s="435"/>
      <c r="H8" s="30">
        <f>SUM(H5:H7)</f>
        <v>0</v>
      </c>
      <c r="I8" s="31">
        <f>SUM(I5:I7)</f>
        <v>2556593.406</v>
      </c>
      <c r="J8" s="31">
        <f>SUM(J5:J7)</f>
        <v>11435761.446000002</v>
      </c>
      <c r="K8" s="32">
        <f>SUM(K5:K7)</f>
        <v>1169395.901</v>
      </c>
      <c r="L8" s="303"/>
      <c r="M8" s="77"/>
      <c r="N8" s="111" t="s">
        <v>16</v>
      </c>
      <c r="O8" s="68">
        <f>O5/6</f>
        <v>447.675</v>
      </c>
      <c r="P8" s="69"/>
      <c r="Q8" s="407" t="s">
        <v>16</v>
      </c>
      <c r="R8" s="408">
        <f>R5/6</f>
        <v>402.2916666666667</v>
      </c>
      <c r="S8" s="78"/>
      <c r="V8" s="529"/>
      <c r="W8" s="529"/>
      <c r="X8" s="529"/>
    </row>
    <row r="9" spans="3:24" ht="13.5" customHeight="1">
      <c r="C9" s="24"/>
      <c r="D9" s="25"/>
      <c r="E9" s="25"/>
      <c r="F9" s="436" t="s">
        <v>23</v>
      </c>
      <c r="G9" s="437"/>
      <c r="H9" s="33">
        <f>H8/12</f>
        <v>0</v>
      </c>
      <c r="I9" s="34">
        <f>I8/12</f>
        <v>213049.4505</v>
      </c>
      <c r="J9" s="34">
        <f>J8/12</f>
        <v>952980.1205000002</v>
      </c>
      <c r="K9" s="35">
        <f>K8/12</f>
        <v>97449.65841666667</v>
      </c>
      <c r="L9" s="303"/>
      <c r="M9" s="77"/>
      <c r="N9" s="112" t="s">
        <v>17</v>
      </c>
      <c r="O9" s="70">
        <f>O6/6</f>
        <v>371.06333333333333</v>
      </c>
      <c r="P9" s="69"/>
      <c r="Q9" s="392" t="s">
        <v>17</v>
      </c>
      <c r="R9" s="395">
        <f>R6/6</f>
        <v>313.735</v>
      </c>
      <c r="S9" s="78"/>
      <c r="V9" s="529"/>
      <c r="W9" s="529"/>
      <c r="X9" s="529"/>
    </row>
    <row r="10" spans="3:24" ht="13.5" customHeight="1">
      <c r="C10" s="24"/>
      <c r="D10" s="24"/>
      <c r="E10" s="24"/>
      <c r="F10" s="451" t="s">
        <v>36</v>
      </c>
      <c r="G10" s="452"/>
      <c r="K10" s="9">
        <f>SUM(H9:K9)</f>
        <v>1263479.229416667</v>
      </c>
      <c r="L10" s="420"/>
      <c r="M10" s="77"/>
      <c r="N10" s="211" t="s">
        <v>18</v>
      </c>
      <c r="O10" s="71">
        <f>O7/6</f>
        <v>229.17666666666665</v>
      </c>
      <c r="P10" s="69"/>
      <c r="Q10" s="393" t="s">
        <v>18</v>
      </c>
      <c r="R10" s="396">
        <f>R7/6</f>
        <v>171.735</v>
      </c>
      <c r="S10" s="78"/>
      <c r="V10" s="529"/>
      <c r="W10" s="531"/>
      <c r="X10" s="529"/>
    </row>
    <row r="11" spans="2:24" ht="13.5" customHeight="1">
      <c r="B11" s="444" t="s">
        <v>117</v>
      </c>
      <c r="C11" s="444"/>
      <c r="D11" s="9"/>
      <c r="E11" s="9"/>
      <c r="F11" s="9"/>
      <c r="G11" s="453"/>
      <c r="H11" s="454"/>
      <c r="I11" s="454"/>
      <c r="J11" s="454"/>
      <c r="K11" s="9">
        <v>1313295</v>
      </c>
      <c r="M11" s="77"/>
      <c r="N11" s="212" t="s">
        <v>56</v>
      </c>
      <c r="O11" s="72">
        <f>J25</f>
        <v>62</v>
      </c>
      <c r="P11" s="69"/>
      <c r="Q11" s="397" t="s">
        <v>56</v>
      </c>
      <c r="R11" s="398">
        <f>J25</f>
        <v>62</v>
      </c>
      <c r="S11" s="78"/>
      <c r="V11" s="529"/>
      <c r="W11" s="531"/>
      <c r="X11" s="529"/>
    </row>
    <row r="12" spans="2:24" ht="19.5" customHeight="1">
      <c r="B12" s="455" t="s">
        <v>38</v>
      </c>
      <c r="C12" s="455"/>
      <c r="D12" s="363"/>
      <c r="E12" s="363"/>
      <c r="G12" s="266" t="s">
        <v>51</v>
      </c>
      <c r="H12" s="267" t="s">
        <v>29</v>
      </c>
      <c r="I12" s="268" t="s">
        <v>30</v>
      </c>
      <c r="J12" s="269" t="s">
        <v>50</v>
      </c>
      <c r="K12" s="270" t="s">
        <v>52</v>
      </c>
      <c r="M12" s="77"/>
      <c r="N12" s="111" t="s">
        <v>19</v>
      </c>
      <c r="O12" s="73">
        <f>((O8*$H$25)+(O9*$I$25)+(O10*$J$25))/($K$25-$J$25)</f>
        <v>482.06638706140353</v>
      </c>
      <c r="P12" s="69"/>
      <c r="Q12" s="394" t="s">
        <v>19</v>
      </c>
      <c r="R12" s="399">
        <f>((R8*$H$25)+(R9*$I$25)+(R10*$J$25))/($K$25-$J$25)</f>
        <v>423.0426315789474</v>
      </c>
      <c r="S12" s="78"/>
      <c r="V12" s="529"/>
      <c r="W12" s="531"/>
      <c r="X12" s="529"/>
    </row>
    <row r="13" spans="2:24" ht="13.5" customHeight="1">
      <c r="B13" s="299" t="s">
        <v>51</v>
      </c>
      <c r="C13" s="377" t="s">
        <v>172</v>
      </c>
      <c r="D13" s="364"/>
      <c r="E13" s="364"/>
      <c r="G13" s="18">
        <v>43678</v>
      </c>
      <c r="H13" s="271">
        <v>22</v>
      </c>
      <c r="I13" s="271">
        <v>5</v>
      </c>
      <c r="J13" s="271">
        <v>4</v>
      </c>
      <c r="K13" s="65">
        <f>SUM(H13:J13)</f>
        <v>31</v>
      </c>
      <c r="M13" s="77"/>
      <c r="N13" s="213" t="s">
        <v>58</v>
      </c>
      <c r="O13" s="74">
        <f>O12/11</f>
        <v>43.82421700558214</v>
      </c>
      <c r="P13" s="69"/>
      <c r="Q13" s="400" t="s">
        <v>58</v>
      </c>
      <c r="R13" s="401">
        <f>R12*0.0909</f>
        <v>38.454575210526315</v>
      </c>
      <c r="S13" s="78"/>
      <c r="V13" s="529"/>
      <c r="W13" s="529"/>
      <c r="X13" s="529"/>
    </row>
    <row r="14" spans="2:24" ht="13.5" customHeight="1">
      <c r="B14" s="300" t="s">
        <v>153</v>
      </c>
      <c r="C14" s="256">
        <v>1860271</v>
      </c>
      <c r="D14" s="378"/>
      <c r="E14" s="365"/>
      <c r="G14" s="18">
        <v>43709</v>
      </c>
      <c r="H14" s="60">
        <v>21</v>
      </c>
      <c r="I14" s="60">
        <v>3</v>
      </c>
      <c r="J14" s="60">
        <v>6</v>
      </c>
      <c r="K14" s="65">
        <f aca="true" t="shared" si="1" ref="K14:K24">SUM(H14:J14)</f>
        <v>30</v>
      </c>
      <c r="M14" s="77"/>
      <c r="N14" s="213" t="s">
        <v>20</v>
      </c>
      <c r="O14" s="74">
        <f>SUM(O12:O13)</f>
        <v>525.8906040669857</v>
      </c>
      <c r="P14" s="69"/>
      <c r="Q14" s="400" t="s">
        <v>20</v>
      </c>
      <c r="R14" s="401">
        <f>SUM(R12:R13)</f>
        <v>461.4972067894737</v>
      </c>
      <c r="S14" s="78"/>
      <c r="V14" s="529"/>
      <c r="W14" s="529"/>
      <c r="X14" s="529"/>
    </row>
    <row r="15" spans="2:19" ht="13.5" customHeight="1">
      <c r="B15" s="300" t="s">
        <v>154</v>
      </c>
      <c r="C15" s="257">
        <v>2170764</v>
      </c>
      <c r="D15" s="378"/>
      <c r="E15" s="365"/>
      <c r="G15" s="18">
        <v>43739</v>
      </c>
      <c r="H15" s="60">
        <v>23</v>
      </c>
      <c r="I15" s="60">
        <v>3</v>
      </c>
      <c r="J15" s="60">
        <v>5</v>
      </c>
      <c r="K15" s="65">
        <f t="shared" si="1"/>
        <v>31</v>
      </c>
      <c r="M15" s="77"/>
      <c r="N15" s="213" t="s">
        <v>59</v>
      </c>
      <c r="O15" s="74">
        <f>O14*10%</f>
        <v>52.58906040669857</v>
      </c>
      <c r="P15" s="69"/>
      <c r="Q15" s="400" t="s">
        <v>59</v>
      </c>
      <c r="R15" s="401">
        <f>R14/10</f>
        <v>46.14972067894737</v>
      </c>
      <c r="S15" s="78"/>
    </row>
    <row r="16" spans="2:22" ht="13.5" customHeight="1">
      <c r="B16" s="300" t="s">
        <v>155</v>
      </c>
      <c r="C16" s="256">
        <v>1986252</v>
      </c>
      <c r="D16" s="378"/>
      <c r="E16" s="365"/>
      <c r="G16" s="18">
        <v>43770</v>
      </c>
      <c r="H16" s="271">
        <v>20</v>
      </c>
      <c r="I16" s="271">
        <v>4</v>
      </c>
      <c r="J16" s="271">
        <v>6</v>
      </c>
      <c r="K16" s="65">
        <f t="shared" si="1"/>
        <v>30</v>
      </c>
      <c r="M16" s="77"/>
      <c r="N16" s="112" t="s">
        <v>57</v>
      </c>
      <c r="O16" s="74">
        <f>SUM(O14:O15)</f>
        <v>578.4796644736842</v>
      </c>
      <c r="P16" s="69"/>
      <c r="Q16" s="392" t="s">
        <v>57</v>
      </c>
      <c r="R16" s="401">
        <f>SUM(R14:R15)</f>
        <v>507.64692746842104</v>
      </c>
      <c r="S16" s="78"/>
      <c r="U16" s="417" t="s">
        <v>255</v>
      </c>
      <c r="V16" s="411"/>
    </row>
    <row r="17" spans="2:22" ht="13.5" customHeight="1">
      <c r="B17" s="300" t="s">
        <v>156</v>
      </c>
      <c r="C17" s="257">
        <v>2086911</v>
      </c>
      <c r="D17" s="378"/>
      <c r="E17" s="365"/>
      <c r="G17" s="18">
        <v>43800</v>
      </c>
      <c r="H17" s="60">
        <v>21</v>
      </c>
      <c r="I17" s="60">
        <v>4</v>
      </c>
      <c r="J17" s="60">
        <v>6</v>
      </c>
      <c r="K17" s="65">
        <f t="shared" si="1"/>
        <v>31</v>
      </c>
      <c r="M17" s="77"/>
      <c r="N17" s="213" t="s">
        <v>60</v>
      </c>
      <c r="O17" s="74">
        <f>O16*5%</f>
        <v>28.923983223684214</v>
      </c>
      <c r="P17" s="69"/>
      <c r="Q17" s="400" t="s">
        <v>60</v>
      </c>
      <c r="R17" s="401">
        <f>R16/20</f>
        <v>25.38234637342105</v>
      </c>
      <c r="S17" s="78"/>
      <c r="U17" s="417" t="s">
        <v>176</v>
      </c>
      <c r="V17" s="418" t="s">
        <v>161</v>
      </c>
    </row>
    <row r="18" spans="2:22" ht="13.5" customHeight="1">
      <c r="B18" s="300" t="s">
        <v>157</v>
      </c>
      <c r="C18" s="257">
        <v>1986162</v>
      </c>
      <c r="D18" s="378"/>
      <c r="E18" s="365"/>
      <c r="G18" s="18">
        <v>43831</v>
      </c>
      <c r="H18" s="60">
        <v>22</v>
      </c>
      <c r="I18" s="60">
        <v>4</v>
      </c>
      <c r="J18" s="60">
        <v>5</v>
      </c>
      <c r="K18" s="65">
        <f t="shared" si="1"/>
        <v>31</v>
      </c>
      <c r="M18" s="77"/>
      <c r="N18" s="112" t="s">
        <v>21</v>
      </c>
      <c r="O18" s="74">
        <f>SUM(O16:O17)</f>
        <v>607.4036476973685</v>
      </c>
      <c r="P18" s="69"/>
      <c r="Q18" s="392" t="s">
        <v>21</v>
      </c>
      <c r="R18" s="401">
        <f>SUM(R16:R17)</f>
        <v>533.029273841842</v>
      </c>
      <c r="S18" s="78"/>
      <c r="U18" s="410" t="s">
        <v>177</v>
      </c>
      <c r="V18" s="412">
        <v>3</v>
      </c>
    </row>
    <row r="19" spans="2:22" ht="13.5" customHeight="1">
      <c r="B19" s="300" t="s">
        <v>158</v>
      </c>
      <c r="C19" s="295">
        <v>1844814</v>
      </c>
      <c r="D19" s="378"/>
      <c r="E19" s="365"/>
      <c r="G19" s="18">
        <v>43862</v>
      </c>
      <c r="H19" s="60">
        <v>19</v>
      </c>
      <c r="I19" s="60">
        <v>5</v>
      </c>
      <c r="J19" s="60">
        <v>5</v>
      </c>
      <c r="K19" s="65">
        <f t="shared" si="1"/>
        <v>29</v>
      </c>
      <c r="M19" s="77"/>
      <c r="N19" s="211" t="s">
        <v>1</v>
      </c>
      <c r="O19" s="75">
        <f>'FROTA E CUSTOS'!G27</f>
        <v>195</v>
      </c>
      <c r="P19" s="69"/>
      <c r="Q19" s="393" t="s">
        <v>1</v>
      </c>
      <c r="R19" s="402">
        <f>'FROTA E CUSTOS'!D27+'FROTA E CUSTOS'!F27</f>
        <v>162</v>
      </c>
      <c r="S19" s="78"/>
      <c r="U19" s="413" t="s">
        <v>178</v>
      </c>
      <c r="V19" s="414">
        <v>1</v>
      </c>
    </row>
    <row r="20" spans="2:22" ht="13.5" customHeight="1">
      <c r="B20" s="300" t="s">
        <v>147</v>
      </c>
      <c r="C20" s="368">
        <v>1667863</v>
      </c>
      <c r="D20" s="379"/>
      <c r="E20" s="366"/>
      <c r="G20" s="18">
        <v>43891</v>
      </c>
      <c r="H20" s="60">
        <v>22</v>
      </c>
      <c r="I20" s="60">
        <v>4</v>
      </c>
      <c r="J20" s="60">
        <v>5</v>
      </c>
      <c r="K20" s="65">
        <f t="shared" si="1"/>
        <v>31</v>
      </c>
      <c r="M20" s="77"/>
      <c r="N20" s="208" t="s">
        <v>55</v>
      </c>
      <c r="O20" s="209">
        <f>O18/O19</f>
        <v>3.114890501012146</v>
      </c>
      <c r="P20" s="76"/>
      <c r="Q20" s="208" t="s">
        <v>55</v>
      </c>
      <c r="R20" s="209">
        <f>R18/R19</f>
        <v>3.2903041595175435</v>
      </c>
      <c r="S20" s="78"/>
      <c r="U20" s="413" t="s">
        <v>179</v>
      </c>
      <c r="V20" s="414">
        <v>2</v>
      </c>
    </row>
    <row r="21" spans="2:22" ht="13.5" customHeight="1">
      <c r="B21" s="300" t="s">
        <v>148</v>
      </c>
      <c r="C21" s="295">
        <v>1816600</v>
      </c>
      <c r="D21" s="378"/>
      <c r="E21" s="366"/>
      <c r="G21" s="18">
        <v>43922</v>
      </c>
      <c r="H21" s="271">
        <v>20</v>
      </c>
      <c r="I21" s="271">
        <v>4</v>
      </c>
      <c r="J21" s="271">
        <v>6</v>
      </c>
      <c r="K21" s="65">
        <f t="shared" si="1"/>
        <v>30</v>
      </c>
      <c r="M21" s="79"/>
      <c r="N21" s="80"/>
      <c r="O21" s="80"/>
      <c r="P21" s="80"/>
      <c r="Q21" s="80"/>
      <c r="R21" s="80"/>
      <c r="S21" s="81"/>
      <c r="U21" s="413" t="s">
        <v>180</v>
      </c>
      <c r="V21" s="414">
        <v>1</v>
      </c>
    </row>
    <row r="22" spans="2:22" ht="13.5" customHeight="1">
      <c r="B22" s="300" t="s">
        <v>149</v>
      </c>
      <c r="C22" s="295">
        <v>1973442</v>
      </c>
      <c r="D22" s="379"/>
      <c r="E22" s="365"/>
      <c r="G22" s="18">
        <v>43952</v>
      </c>
      <c r="H22" s="60">
        <v>20</v>
      </c>
      <c r="I22" s="60">
        <v>5</v>
      </c>
      <c r="J22" s="60">
        <v>6</v>
      </c>
      <c r="K22" s="65">
        <f t="shared" si="1"/>
        <v>31</v>
      </c>
      <c r="U22" s="413" t="s">
        <v>181</v>
      </c>
      <c r="V22" s="414">
        <v>1</v>
      </c>
    </row>
    <row r="23" spans="2:22" ht="13.5" customHeight="1">
      <c r="B23" s="300" t="s">
        <v>150</v>
      </c>
      <c r="C23" s="295">
        <v>2012974</v>
      </c>
      <c r="D23" s="379"/>
      <c r="E23" s="366"/>
      <c r="G23" s="18">
        <v>43983</v>
      </c>
      <c r="H23" s="60">
        <v>22</v>
      </c>
      <c r="I23" s="60">
        <v>4</v>
      </c>
      <c r="J23" s="60">
        <v>4</v>
      </c>
      <c r="K23" s="65">
        <f t="shared" si="1"/>
        <v>30</v>
      </c>
      <c r="U23" s="413" t="s">
        <v>182</v>
      </c>
      <c r="V23" s="414">
        <v>1</v>
      </c>
    </row>
    <row r="24" spans="2:22" ht="13.5" customHeight="1">
      <c r="B24" s="300" t="s">
        <v>151</v>
      </c>
      <c r="C24" s="295">
        <v>2019956</v>
      </c>
      <c r="D24" s="380"/>
      <c r="E24" s="366"/>
      <c r="G24" s="18">
        <v>44013</v>
      </c>
      <c r="H24" s="409">
        <v>23</v>
      </c>
      <c r="I24" s="409">
        <v>4</v>
      </c>
      <c r="J24" s="409">
        <v>4</v>
      </c>
      <c r="K24" s="65">
        <f t="shared" si="1"/>
        <v>31</v>
      </c>
      <c r="U24" s="413" t="s">
        <v>183</v>
      </c>
      <c r="V24" s="414">
        <v>1</v>
      </c>
    </row>
    <row r="25" spans="2:22" ht="13.5" customHeight="1">
      <c r="B25" s="300" t="s">
        <v>152</v>
      </c>
      <c r="C25" s="369">
        <v>1852510</v>
      </c>
      <c r="D25" s="382" t="s">
        <v>173</v>
      </c>
      <c r="E25" s="381"/>
      <c r="G25" s="63"/>
      <c r="H25" s="64">
        <f>SUM(H13:H24)</f>
        <v>255</v>
      </c>
      <c r="I25" s="61">
        <f>SUM(I13:I24)</f>
        <v>49</v>
      </c>
      <c r="J25" s="62">
        <f>SUM(J13:J24)</f>
        <v>62</v>
      </c>
      <c r="K25" s="66">
        <f>SUM(H25:J25)</f>
        <v>366</v>
      </c>
      <c r="M25" s="438"/>
      <c r="N25" s="438"/>
      <c r="O25" s="438"/>
      <c r="P25" s="438"/>
      <c r="Q25" s="438"/>
      <c r="R25" s="438"/>
      <c r="S25" s="438"/>
      <c r="U25" s="413" t="s">
        <v>184</v>
      </c>
      <c r="V25" s="414">
        <v>12</v>
      </c>
    </row>
    <row r="26" spans="2:22" ht="13.5" customHeight="1">
      <c r="B26" s="258" t="s">
        <v>37</v>
      </c>
      <c r="C26" s="259">
        <f>AVERAGE(C14:C25)</f>
        <v>1939876.5833333333</v>
      </c>
      <c r="D26" s="383">
        <v>2092740.9166666667</v>
      </c>
      <c r="E26" s="367"/>
      <c r="F26" s="420"/>
      <c r="G26" s="340"/>
      <c r="U26" s="413" t="s">
        <v>185</v>
      </c>
      <c r="V26" s="414">
        <v>1</v>
      </c>
    </row>
    <row r="27" spans="14:22" ht="19.5" customHeight="1">
      <c r="N27" s="375"/>
      <c r="O27" s="376"/>
      <c r="P27" s="69"/>
      <c r="Q27" s="375"/>
      <c r="R27" s="376"/>
      <c r="S27" s="419"/>
      <c r="U27" s="413" t="s">
        <v>186</v>
      </c>
      <c r="V27" s="414">
        <v>1</v>
      </c>
    </row>
    <row r="28" spans="21:22" ht="12">
      <c r="U28" s="413" t="s">
        <v>187</v>
      </c>
      <c r="V28" s="414">
        <v>1</v>
      </c>
    </row>
    <row r="29" spans="3:22" ht="12"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U29" s="413" t="s">
        <v>188</v>
      </c>
      <c r="V29" s="414">
        <v>2</v>
      </c>
    </row>
    <row r="30" spans="3:22" ht="12"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U30" s="413" t="s">
        <v>189</v>
      </c>
      <c r="V30" s="414">
        <v>1</v>
      </c>
    </row>
    <row r="31" spans="3:22" ht="15.75">
      <c r="C31" s="421"/>
      <c r="D31" s="422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U31" s="413" t="s">
        <v>190</v>
      </c>
      <c r="V31" s="414">
        <v>6</v>
      </c>
    </row>
    <row r="32" spans="3:22" ht="12"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U32" s="413" t="s">
        <v>191</v>
      </c>
      <c r="V32" s="414">
        <v>1</v>
      </c>
    </row>
    <row r="33" spans="3:22" ht="12.75">
      <c r="C33" s="421"/>
      <c r="D33" s="423"/>
      <c r="E33" s="424"/>
      <c r="F33" s="424"/>
      <c r="G33" s="424"/>
      <c r="H33" s="421"/>
      <c r="I33" s="421"/>
      <c r="J33" s="421"/>
      <c r="K33" s="421"/>
      <c r="L33" s="421"/>
      <c r="M33" s="421"/>
      <c r="N33" s="421"/>
      <c r="U33" s="413" t="s">
        <v>192</v>
      </c>
      <c r="V33" s="414">
        <v>1</v>
      </c>
    </row>
    <row r="34" spans="3:22" ht="15.75">
      <c r="C34" s="421"/>
      <c r="D34" s="425"/>
      <c r="E34" s="425"/>
      <c r="F34" s="425"/>
      <c r="G34" s="425"/>
      <c r="H34" s="421"/>
      <c r="I34" s="421"/>
      <c r="J34" s="421"/>
      <c r="K34" s="421"/>
      <c r="L34" s="421"/>
      <c r="M34" s="421"/>
      <c r="N34" s="421"/>
      <c r="U34" s="413" t="s">
        <v>193</v>
      </c>
      <c r="V34" s="414">
        <v>1</v>
      </c>
    </row>
    <row r="35" spans="3:22" ht="15.75">
      <c r="C35" s="421"/>
      <c r="D35" s="425"/>
      <c r="E35" s="425"/>
      <c r="F35" s="425"/>
      <c r="G35" s="425"/>
      <c r="H35" s="421"/>
      <c r="I35" s="421"/>
      <c r="J35" s="421"/>
      <c r="K35" s="421"/>
      <c r="L35" s="421"/>
      <c r="M35" s="421"/>
      <c r="N35" s="421"/>
      <c r="U35" s="413" t="s">
        <v>194</v>
      </c>
      <c r="V35" s="414">
        <v>7</v>
      </c>
    </row>
    <row r="36" spans="3:22" ht="15.75">
      <c r="C36" s="421"/>
      <c r="D36" s="425"/>
      <c r="E36" s="425"/>
      <c r="F36" s="425"/>
      <c r="G36" s="425"/>
      <c r="H36" s="421"/>
      <c r="I36" s="421"/>
      <c r="J36" s="421"/>
      <c r="K36" s="421"/>
      <c r="L36" s="421"/>
      <c r="M36" s="421"/>
      <c r="N36" s="421"/>
      <c r="U36" s="413" t="s">
        <v>195</v>
      </c>
      <c r="V36" s="414">
        <v>2</v>
      </c>
    </row>
    <row r="37" spans="3:22" ht="12">
      <c r="C37" s="421"/>
      <c r="D37" s="426"/>
      <c r="E37" s="421"/>
      <c r="F37" s="421"/>
      <c r="G37" s="421"/>
      <c r="H37" s="421"/>
      <c r="I37" s="421"/>
      <c r="J37" s="421"/>
      <c r="K37" s="431"/>
      <c r="L37" s="431"/>
      <c r="M37" s="431"/>
      <c r="N37" s="431"/>
      <c r="U37" s="413" t="s">
        <v>196</v>
      </c>
      <c r="V37" s="414">
        <v>1</v>
      </c>
    </row>
    <row r="38" spans="3:22" ht="15.75">
      <c r="C38" s="421"/>
      <c r="D38" s="422"/>
      <c r="E38" s="421"/>
      <c r="F38" s="421"/>
      <c r="G38" s="421"/>
      <c r="H38" s="421"/>
      <c r="I38" s="421"/>
      <c r="J38" s="421"/>
      <c r="K38" s="431"/>
      <c r="L38" s="431"/>
      <c r="M38" s="431"/>
      <c r="N38" s="431"/>
      <c r="U38" s="413" t="s">
        <v>197</v>
      </c>
      <c r="V38" s="414">
        <v>1</v>
      </c>
    </row>
    <row r="39" spans="3:22" ht="12"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U39" s="413" t="s">
        <v>198</v>
      </c>
      <c r="V39" s="414">
        <v>1</v>
      </c>
    </row>
    <row r="40" spans="3:22" ht="12.75">
      <c r="C40" s="421"/>
      <c r="D40" s="423"/>
      <c r="E40" s="423"/>
      <c r="F40" s="423"/>
      <c r="G40" s="423"/>
      <c r="H40" s="421"/>
      <c r="I40" s="421"/>
      <c r="J40" s="421"/>
      <c r="K40" s="421"/>
      <c r="L40" s="421"/>
      <c r="M40" s="421"/>
      <c r="N40" s="421"/>
      <c r="U40" s="413" t="s">
        <v>199</v>
      </c>
      <c r="V40" s="414">
        <v>1</v>
      </c>
    </row>
    <row r="41" spans="3:22" ht="15.75">
      <c r="C41" s="421"/>
      <c r="D41" s="425"/>
      <c r="E41" s="425"/>
      <c r="F41" s="425"/>
      <c r="G41" s="425"/>
      <c r="H41" s="421"/>
      <c r="I41" s="421"/>
      <c r="J41" s="421"/>
      <c r="K41" s="421"/>
      <c r="L41" s="421"/>
      <c r="M41" s="421"/>
      <c r="N41" s="421"/>
      <c r="U41" s="413" t="s">
        <v>200</v>
      </c>
      <c r="V41" s="414">
        <v>2</v>
      </c>
    </row>
    <row r="42" spans="3:22" ht="15.75">
      <c r="C42" s="421"/>
      <c r="D42" s="425"/>
      <c r="E42" s="425"/>
      <c r="F42" s="425"/>
      <c r="G42" s="425"/>
      <c r="H42" s="421"/>
      <c r="I42" s="421"/>
      <c r="J42" s="421"/>
      <c r="K42" s="421"/>
      <c r="L42" s="421"/>
      <c r="M42" s="421"/>
      <c r="N42" s="421"/>
      <c r="U42" s="413" t="s">
        <v>201</v>
      </c>
      <c r="V42" s="414">
        <v>1</v>
      </c>
    </row>
    <row r="43" spans="3:22" ht="15.75">
      <c r="C43" s="421"/>
      <c r="D43" s="425"/>
      <c r="E43" s="425"/>
      <c r="F43" s="425"/>
      <c r="G43" s="425"/>
      <c r="H43" s="421"/>
      <c r="I43" s="421"/>
      <c r="J43" s="421"/>
      <c r="K43" s="431"/>
      <c r="L43" s="431"/>
      <c r="M43" s="431"/>
      <c r="N43" s="431"/>
      <c r="U43" s="413" t="s">
        <v>202</v>
      </c>
      <c r="V43" s="414">
        <v>1</v>
      </c>
    </row>
    <row r="44" spans="3:22" ht="12">
      <c r="C44" s="421"/>
      <c r="D44" s="421"/>
      <c r="E44" s="421"/>
      <c r="F44" s="421"/>
      <c r="G44" s="421"/>
      <c r="H44" s="421"/>
      <c r="I44" s="421"/>
      <c r="J44" s="421"/>
      <c r="K44" s="431"/>
      <c r="L44" s="431"/>
      <c r="M44" s="431"/>
      <c r="N44" s="431"/>
      <c r="U44" s="413" t="s">
        <v>203</v>
      </c>
      <c r="V44" s="414">
        <v>1</v>
      </c>
    </row>
    <row r="45" spans="3:22" ht="12"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U45" s="413" t="s">
        <v>204</v>
      </c>
      <c r="V45" s="414">
        <v>1</v>
      </c>
    </row>
    <row r="46" spans="3:22" ht="12"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U46" s="413" t="s">
        <v>205</v>
      </c>
      <c r="V46" s="414">
        <v>1</v>
      </c>
    </row>
    <row r="47" spans="3:22" ht="12">
      <c r="C47" s="421"/>
      <c r="D47" s="421"/>
      <c r="E47" s="421"/>
      <c r="F47" s="421"/>
      <c r="G47" s="421"/>
      <c r="H47" s="421"/>
      <c r="I47" s="421"/>
      <c r="J47" s="421"/>
      <c r="K47" s="431"/>
      <c r="L47" s="431"/>
      <c r="M47" s="431"/>
      <c r="N47" s="431"/>
      <c r="O47" s="246"/>
      <c r="U47" s="413" t="s">
        <v>206</v>
      </c>
      <c r="V47" s="414">
        <v>1</v>
      </c>
    </row>
    <row r="48" spans="3:22" ht="12">
      <c r="C48" s="421"/>
      <c r="D48" s="421"/>
      <c r="E48" s="421"/>
      <c r="F48" s="421"/>
      <c r="G48" s="421"/>
      <c r="H48" s="421"/>
      <c r="I48" s="421"/>
      <c r="J48" s="421"/>
      <c r="K48" s="431"/>
      <c r="L48" s="431"/>
      <c r="M48" s="431"/>
      <c r="N48" s="431"/>
      <c r="U48" s="413" t="s">
        <v>207</v>
      </c>
      <c r="V48" s="414">
        <v>15</v>
      </c>
    </row>
    <row r="49" spans="3:22" ht="12">
      <c r="C49" s="421"/>
      <c r="D49" s="427"/>
      <c r="E49" s="427"/>
      <c r="F49" s="427"/>
      <c r="G49" s="421"/>
      <c r="H49" s="421"/>
      <c r="I49" s="421"/>
      <c r="J49" s="421"/>
      <c r="K49" s="439"/>
      <c r="L49" s="439"/>
      <c r="M49" s="439"/>
      <c r="N49" s="439"/>
      <c r="U49" s="413" t="s">
        <v>208</v>
      </c>
      <c r="V49" s="414">
        <v>1</v>
      </c>
    </row>
    <row r="50" spans="3:22" ht="12">
      <c r="C50" s="421"/>
      <c r="D50" s="428"/>
      <c r="E50" s="428"/>
      <c r="F50" s="429"/>
      <c r="G50" s="421"/>
      <c r="H50" s="421"/>
      <c r="I50" s="421"/>
      <c r="J50" s="421"/>
      <c r="K50" s="421"/>
      <c r="L50" s="421"/>
      <c r="M50" s="421"/>
      <c r="N50" s="421"/>
      <c r="U50" s="413" t="s">
        <v>209</v>
      </c>
      <c r="V50" s="414">
        <v>5</v>
      </c>
    </row>
    <row r="51" spans="3:22" ht="12">
      <c r="C51" s="421"/>
      <c r="D51" s="428"/>
      <c r="E51" s="428"/>
      <c r="F51" s="428"/>
      <c r="G51" s="421"/>
      <c r="H51" s="421"/>
      <c r="I51" s="421"/>
      <c r="J51" s="421"/>
      <c r="K51" s="421"/>
      <c r="L51" s="421"/>
      <c r="M51" s="421"/>
      <c r="N51" s="421"/>
      <c r="U51" s="413" t="s">
        <v>210</v>
      </c>
      <c r="V51" s="414">
        <v>2</v>
      </c>
    </row>
    <row r="52" spans="3:22" ht="12">
      <c r="C52" s="421"/>
      <c r="D52" s="428"/>
      <c r="E52" s="428"/>
      <c r="F52" s="428"/>
      <c r="G52" s="421"/>
      <c r="H52" s="421"/>
      <c r="I52" s="421"/>
      <c r="J52" s="421"/>
      <c r="K52" s="421"/>
      <c r="L52" s="421"/>
      <c r="M52" s="421"/>
      <c r="N52" s="421"/>
      <c r="U52" s="413" t="s">
        <v>211</v>
      </c>
      <c r="V52" s="414">
        <v>1</v>
      </c>
    </row>
    <row r="53" spans="3:22" ht="12"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U53" s="413" t="s">
        <v>212</v>
      </c>
      <c r="V53" s="414">
        <v>1</v>
      </c>
    </row>
    <row r="54" spans="3:22" ht="12"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U54" s="413" t="s">
        <v>213</v>
      </c>
      <c r="V54" s="414">
        <v>1</v>
      </c>
    </row>
    <row r="55" spans="3:22" ht="12"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U55" s="413" t="s">
        <v>214</v>
      </c>
      <c r="V55" s="414">
        <v>1</v>
      </c>
    </row>
    <row r="56" spans="3:22" ht="12"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U56" s="413" t="s">
        <v>215</v>
      </c>
      <c r="V56" s="414">
        <v>1</v>
      </c>
    </row>
    <row r="57" spans="3:22" ht="12">
      <c r="C57" s="421"/>
      <c r="D57" s="421"/>
      <c r="E57" s="421"/>
      <c r="F57" s="421"/>
      <c r="G57" s="421"/>
      <c r="H57" s="421"/>
      <c r="I57" s="421"/>
      <c r="J57" s="421"/>
      <c r="K57" s="431"/>
      <c r="L57" s="431"/>
      <c r="M57" s="431"/>
      <c r="N57" s="431"/>
      <c r="U57" s="413" t="s">
        <v>216</v>
      </c>
      <c r="V57" s="414">
        <v>2</v>
      </c>
    </row>
    <row r="58" spans="3:22" ht="12">
      <c r="C58" s="421"/>
      <c r="D58" s="421"/>
      <c r="E58" s="421"/>
      <c r="F58" s="421"/>
      <c r="G58" s="421"/>
      <c r="H58" s="421"/>
      <c r="I58" s="421"/>
      <c r="J58" s="421"/>
      <c r="K58" s="431"/>
      <c r="L58" s="431"/>
      <c r="M58" s="431"/>
      <c r="N58" s="431"/>
      <c r="U58" s="413" t="s">
        <v>217</v>
      </c>
      <c r="V58" s="414">
        <v>3</v>
      </c>
    </row>
    <row r="59" spans="3:22" ht="12"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U59" s="413" t="s">
        <v>218</v>
      </c>
      <c r="V59" s="414">
        <v>2</v>
      </c>
    </row>
    <row r="60" spans="3:22" ht="12"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U60" s="413" t="s">
        <v>219</v>
      </c>
      <c r="V60" s="414">
        <v>1</v>
      </c>
    </row>
    <row r="61" spans="21:22" ht="12">
      <c r="U61" s="413" t="s">
        <v>220</v>
      </c>
      <c r="V61" s="414">
        <v>26</v>
      </c>
    </row>
    <row r="62" spans="21:22" ht="12">
      <c r="U62" s="413" t="s">
        <v>221</v>
      </c>
      <c r="V62" s="414">
        <v>1</v>
      </c>
    </row>
    <row r="63" spans="21:22" ht="12">
      <c r="U63" s="413" t="s">
        <v>222</v>
      </c>
      <c r="V63" s="414">
        <v>6</v>
      </c>
    </row>
    <row r="64" spans="21:22" ht="12">
      <c r="U64" s="413" t="s">
        <v>223</v>
      </c>
      <c r="V64" s="414">
        <v>3</v>
      </c>
    </row>
    <row r="65" spans="21:22" ht="12">
      <c r="U65" s="413" t="s">
        <v>224</v>
      </c>
      <c r="V65" s="414">
        <v>11</v>
      </c>
    </row>
    <row r="66" spans="21:22" ht="12">
      <c r="U66" s="413" t="s">
        <v>225</v>
      </c>
      <c r="V66" s="414">
        <v>3</v>
      </c>
    </row>
    <row r="67" spans="21:22" ht="12">
      <c r="U67" s="413" t="s">
        <v>226</v>
      </c>
      <c r="V67" s="414">
        <v>5</v>
      </c>
    </row>
    <row r="68" spans="21:22" ht="12">
      <c r="U68" s="413" t="s">
        <v>227</v>
      </c>
      <c r="V68" s="414">
        <v>12</v>
      </c>
    </row>
    <row r="69" spans="11:22" ht="12">
      <c r="K69" s="432"/>
      <c r="L69" s="433"/>
      <c r="M69" s="433"/>
      <c r="N69" s="433"/>
      <c r="U69" s="413" t="s">
        <v>228</v>
      </c>
      <c r="V69" s="414">
        <v>5</v>
      </c>
    </row>
    <row r="70" spans="11:22" ht="12">
      <c r="K70" s="432"/>
      <c r="L70" s="433"/>
      <c r="M70" s="433"/>
      <c r="N70" s="433"/>
      <c r="U70" s="413" t="s">
        <v>229</v>
      </c>
      <c r="V70" s="414">
        <v>1</v>
      </c>
    </row>
    <row r="71" spans="21:22" ht="12">
      <c r="U71" s="413" t="s">
        <v>230</v>
      </c>
      <c r="V71" s="414">
        <v>1</v>
      </c>
    </row>
    <row r="72" spans="21:22" ht="12">
      <c r="U72" s="413" t="s">
        <v>231</v>
      </c>
      <c r="V72" s="414">
        <v>14</v>
      </c>
    </row>
    <row r="73" spans="21:22" ht="12">
      <c r="U73" s="413" t="s">
        <v>232</v>
      </c>
      <c r="V73" s="414">
        <v>598</v>
      </c>
    </row>
    <row r="74" spans="21:22" ht="12">
      <c r="U74" s="413" t="s">
        <v>233</v>
      </c>
      <c r="V74" s="414">
        <v>2</v>
      </c>
    </row>
    <row r="75" spans="21:22" ht="12">
      <c r="U75" s="413" t="s">
        <v>234</v>
      </c>
      <c r="V75" s="414">
        <v>5</v>
      </c>
    </row>
    <row r="76" spans="21:22" ht="12">
      <c r="U76" s="413" t="s">
        <v>235</v>
      </c>
      <c r="V76" s="414">
        <v>1</v>
      </c>
    </row>
    <row r="77" spans="21:22" ht="12">
      <c r="U77" s="413" t="s">
        <v>236</v>
      </c>
      <c r="V77" s="414">
        <v>1</v>
      </c>
    </row>
    <row r="78" spans="21:22" ht="12">
      <c r="U78" s="413" t="s">
        <v>237</v>
      </c>
      <c r="V78" s="414">
        <v>1</v>
      </c>
    </row>
    <row r="79" spans="21:22" ht="12">
      <c r="U79" s="413" t="s">
        <v>238</v>
      </c>
      <c r="V79" s="414">
        <v>1</v>
      </c>
    </row>
    <row r="80" spans="21:22" ht="12">
      <c r="U80" s="413" t="s">
        <v>239</v>
      </c>
      <c r="V80" s="414">
        <v>1</v>
      </c>
    </row>
    <row r="81" spans="21:22" ht="12">
      <c r="U81" s="413" t="s">
        <v>240</v>
      </c>
      <c r="V81" s="414">
        <v>1</v>
      </c>
    </row>
    <row r="82" spans="21:22" ht="12">
      <c r="U82" s="413" t="s">
        <v>241</v>
      </c>
      <c r="V82" s="414">
        <v>4</v>
      </c>
    </row>
    <row r="83" spans="21:22" ht="12">
      <c r="U83" s="413" t="s">
        <v>242</v>
      </c>
      <c r="V83" s="414">
        <v>1</v>
      </c>
    </row>
    <row r="84" spans="21:22" ht="12">
      <c r="U84" s="413" t="s">
        <v>243</v>
      </c>
      <c r="V84" s="414">
        <v>1</v>
      </c>
    </row>
    <row r="85" spans="21:22" ht="12">
      <c r="U85" s="413" t="s">
        <v>244</v>
      </c>
      <c r="V85" s="414">
        <v>1</v>
      </c>
    </row>
    <row r="86" spans="21:22" ht="12">
      <c r="U86" s="413" t="s">
        <v>245</v>
      </c>
      <c r="V86" s="414">
        <v>1</v>
      </c>
    </row>
    <row r="87" spans="21:22" ht="12">
      <c r="U87" s="413" t="s">
        <v>246</v>
      </c>
      <c r="V87" s="414">
        <v>1</v>
      </c>
    </row>
    <row r="88" spans="21:22" ht="12">
      <c r="U88" s="413" t="s">
        <v>247</v>
      </c>
      <c r="V88" s="414">
        <v>1</v>
      </c>
    </row>
    <row r="89" spans="21:22" ht="12">
      <c r="U89" s="413" t="s">
        <v>248</v>
      </c>
      <c r="V89" s="414">
        <v>1</v>
      </c>
    </row>
    <row r="90" spans="21:22" ht="12">
      <c r="U90" s="413" t="s">
        <v>249</v>
      </c>
      <c r="V90" s="414">
        <v>1</v>
      </c>
    </row>
    <row r="91" spans="21:22" ht="12">
      <c r="U91" s="413" t="s">
        <v>250</v>
      </c>
      <c r="V91" s="414">
        <v>2</v>
      </c>
    </row>
    <row r="92" spans="21:22" ht="12">
      <c r="U92" s="413" t="s">
        <v>251</v>
      </c>
      <c r="V92" s="414">
        <v>504</v>
      </c>
    </row>
    <row r="93" spans="21:22" ht="12">
      <c r="U93" s="413" t="s">
        <v>252</v>
      </c>
      <c r="V93" s="414">
        <v>4</v>
      </c>
    </row>
    <row r="94" spans="21:22" ht="12">
      <c r="U94" s="413" t="s">
        <v>253</v>
      </c>
      <c r="V94" s="414">
        <v>1</v>
      </c>
    </row>
    <row r="95" spans="21:22" ht="12">
      <c r="U95" s="413" t="s">
        <v>254</v>
      </c>
      <c r="V95" s="414">
        <v>2</v>
      </c>
    </row>
    <row r="96" spans="21:22" ht="12">
      <c r="U96" s="413" t="s">
        <v>160</v>
      </c>
      <c r="V96" s="414"/>
    </row>
    <row r="97" spans="21:22" ht="12">
      <c r="U97" s="415" t="s">
        <v>21</v>
      </c>
      <c r="V97" s="416">
        <v>1318</v>
      </c>
    </row>
  </sheetData>
  <sheetProtection/>
  <mergeCells count="23">
    <mergeCell ref="K44:N44"/>
    <mergeCell ref="K38:N38"/>
    <mergeCell ref="K37:N37"/>
    <mergeCell ref="K43:N43"/>
    <mergeCell ref="G11:J11"/>
    <mergeCell ref="B12:C12"/>
    <mergeCell ref="M2:S2"/>
    <mergeCell ref="B2:K2"/>
    <mergeCell ref="B11:C11"/>
    <mergeCell ref="B4:C4"/>
    <mergeCell ref="D3:G3"/>
    <mergeCell ref="H3:K3"/>
    <mergeCell ref="F10:G10"/>
    <mergeCell ref="K57:N57"/>
    <mergeCell ref="K58:N58"/>
    <mergeCell ref="K69:N69"/>
    <mergeCell ref="K70:N70"/>
    <mergeCell ref="F8:G8"/>
    <mergeCell ref="F9:G9"/>
    <mergeCell ref="M25:S25"/>
    <mergeCell ref="K47:N47"/>
    <mergeCell ref="K48:N48"/>
    <mergeCell ref="K49:N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ignoredErrors>
    <ignoredError sqref="O15 O17 R15 R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1"/>
  <sheetViews>
    <sheetView showGridLines="0" zoomScale="115" zoomScaleNormal="115" zoomScalePageLayoutView="0" workbookViewId="0" topLeftCell="L1">
      <selection activeCell="L21" sqref="L21"/>
    </sheetView>
  </sheetViews>
  <sheetFormatPr defaultColWidth="9.00390625" defaultRowHeight="12.75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0.375" style="1" customWidth="1"/>
    <col min="12" max="12" width="5.625" style="1" customWidth="1"/>
    <col min="13" max="13" width="20.625" style="1" customWidth="1"/>
    <col min="14" max="14" width="14.375" style="1" customWidth="1"/>
    <col min="15" max="15" width="9.00390625" style="1" customWidth="1"/>
    <col min="16" max="16" width="22.50390625" style="1" customWidth="1"/>
    <col min="17" max="17" width="12.50390625" style="1" customWidth="1"/>
    <col min="18" max="16384" width="9.00390625" style="1" customWidth="1"/>
  </cols>
  <sheetData>
    <row r="2" spans="2:10" s="2" customFormat="1" ht="13.5" customHeight="1">
      <c r="B2" s="69" t="s">
        <v>39</v>
      </c>
      <c r="C2" s="8"/>
      <c r="D2" s="8"/>
      <c r="E2" s="8"/>
      <c r="F2" s="8"/>
      <c r="G2" s="8"/>
      <c r="H2" s="8"/>
      <c r="I2" s="8"/>
      <c r="J2" s="36"/>
    </row>
    <row r="3" spans="2:19" s="2" customFormat="1" ht="13.5" customHeight="1">
      <c r="B3" s="473"/>
      <c r="C3" s="474"/>
      <c r="D3" s="38" t="s">
        <v>40</v>
      </c>
      <c r="E3" s="39" t="s">
        <v>41</v>
      </c>
      <c r="F3" s="39" t="s">
        <v>42</v>
      </c>
      <c r="G3" s="39" t="s">
        <v>43</v>
      </c>
      <c r="H3" s="40" t="s">
        <v>44</v>
      </c>
      <c r="I3" s="283"/>
      <c r="J3" s="461" t="s">
        <v>163</v>
      </c>
      <c r="K3" s="461"/>
      <c r="M3" s="471" t="s">
        <v>120</v>
      </c>
      <c r="N3" s="471"/>
      <c r="P3" s="307"/>
      <c r="Q3" s="307"/>
      <c r="R3" s="307"/>
      <c r="S3" s="307"/>
    </row>
    <row r="4" spans="2:19" s="2" customFormat="1" ht="13.5" customHeight="1">
      <c r="B4" s="458" t="s">
        <v>32</v>
      </c>
      <c r="C4" s="459"/>
      <c r="D4" s="370">
        <v>181000</v>
      </c>
      <c r="E4" s="371">
        <v>148000</v>
      </c>
      <c r="F4" s="37">
        <f>SUM(D4:E4)</f>
        <v>329000</v>
      </c>
      <c r="G4" s="37">
        <f>6*K17</f>
        <v>6258.12</v>
      </c>
      <c r="H4" s="161">
        <f>F4-G4</f>
        <v>322741.88</v>
      </c>
      <c r="I4" s="44"/>
      <c r="J4" s="111" t="s">
        <v>95</v>
      </c>
      <c r="K4" s="330">
        <v>1915.36</v>
      </c>
      <c r="M4" s="310" t="s">
        <v>174</v>
      </c>
      <c r="N4" s="385">
        <v>2.5288</v>
      </c>
      <c r="O4" s="306" t="s">
        <v>117</v>
      </c>
      <c r="P4" s="462"/>
      <c r="Q4" s="462"/>
      <c r="R4" s="314"/>
      <c r="S4" s="307"/>
    </row>
    <row r="5" spans="2:19" s="2" customFormat="1" ht="13.5" customHeight="1">
      <c r="B5" s="458" t="s">
        <v>45</v>
      </c>
      <c r="C5" s="459"/>
      <c r="D5" s="336">
        <v>203800</v>
      </c>
      <c r="E5" s="37">
        <v>152400</v>
      </c>
      <c r="F5" s="37">
        <f>SUM(D5:E5)</f>
        <v>356200</v>
      </c>
      <c r="G5" s="37">
        <f>6*K17</f>
        <v>6258.12</v>
      </c>
      <c r="H5" s="161">
        <f>F5-G5</f>
        <v>349941.88</v>
      </c>
      <c r="I5" s="44"/>
      <c r="J5" s="112" t="s">
        <v>96</v>
      </c>
      <c r="K5" s="330">
        <v>1514.39</v>
      </c>
      <c r="M5" s="310" t="s">
        <v>175</v>
      </c>
      <c r="N5" s="389">
        <v>2.9226</v>
      </c>
      <c r="O5" s="314"/>
      <c r="P5" s="317"/>
      <c r="Q5" s="467"/>
      <c r="R5" s="467"/>
      <c r="S5" s="467"/>
    </row>
    <row r="6" spans="2:19" s="2" customFormat="1" ht="13.5" customHeight="1">
      <c r="B6" s="458" t="s">
        <v>26</v>
      </c>
      <c r="C6" s="459"/>
      <c r="D6" s="336">
        <v>480000</v>
      </c>
      <c r="E6" s="37">
        <v>321000</v>
      </c>
      <c r="F6" s="37">
        <f>SUM(D6:E6)</f>
        <v>801000</v>
      </c>
      <c r="G6" s="37">
        <f>10*K18</f>
        <v>11538.800000000001</v>
      </c>
      <c r="H6" s="161">
        <f>F6-G6</f>
        <v>789461.2</v>
      </c>
      <c r="I6" s="44"/>
      <c r="J6" s="113" t="s">
        <v>54</v>
      </c>
      <c r="K6" s="330">
        <v>1147.36</v>
      </c>
      <c r="M6" s="457" t="s">
        <v>117</v>
      </c>
      <c r="N6" s="457"/>
      <c r="O6" s="314"/>
      <c r="P6" s="318"/>
      <c r="Q6" s="467"/>
      <c r="R6" s="467"/>
      <c r="S6" s="467"/>
    </row>
    <row r="7" spans="2:19" s="2" customFormat="1" ht="13.5" customHeight="1">
      <c r="B7" s="43"/>
      <c r="C7" s="43"/>
      <c r="D7" s="44"/>
      <c r="E7" s="44"/>
      <c r="F7" s="44"/>
      <c r="G7" s="44"/>
      <c r="H7" s="306"/>
      <c r="I7" s="45"/>
      <c r="J7" s="113" t="s">
        <v>109</v>
      </c>
      <c r="K7" s="195">
        <v>0.423893</v>
      </c>
      <c r="M7" s="456" t="s">
        <v>121</v>
      </c>
      <c r="N7" s="456"/>
      <c r="O7" s="314"/>
      <c r="P7" s="319"/>
      <c r="Q7" s="467"/>
      <c r="R7" s="467"/>
      <c r="S7" s="467"/>
    </row>
    <row r="8" spans="2:19" s="2" customFormat="1" ht="13.5" customHeight="1">
      <c r="B8" s="534" t="s">
        <v>162</v>
      </c>
      <c r="C8" s="8"/>
      <c r="D8" s="8"/>
      <c r="E8" s="8"/>
      <c r="F8" s="8"/>
      <c r="G8" s="8"/>
      <c r="H8" s="44"/>
      <c r="I8" s="44"/>
      <c r="M8" s="311" t="s">
        <v>174</v>
      </c>
      <c r="N8" s="386">
        <v>2.5514</v>
      </c>
      <c r="O8" s="306"/>
      <c r="P8" s="314"/>
      <c r="Q8" s="467"/>
      <c r="R8" s="467"/>
      <c r="S8" s="467"/>
    </row>
    <row r="9" spans="2:19" s="2" customFormat="1" ht="13.5" customHeight="1">
      <c r="B9" s="52" t="s">
        <v>46</v>
      </c>
      <c r="C9" s="54" t="s">
        <v>25</v>
      </c>
      <c r="D9" s="41" t="s">
        <v>45</v>
      </c>
      <c r="E9" s="41" t="s">
        <v>32</v>
      </c>
      <c r="F9" s="41" t="s">
        <v>26</v>
      </c>
      <c r="G9" s="42" t="s">
        <v>47</v>
      </c>
      <c r="H9" s="44"/>
      <c r="I9" s="44"/>
      <c r="J9" s="461" t="s">
        <v>164</v>
      </c>
      <c r="K9" s="461"/>
      <c r="L9" s="8"/>
      <c r="M9" s="311" t="s">
        <v>175</v>
      </c>
      <c r="N9" s="390">
        <v>2.9582</v>
      </c>
      <c r="O9" s="314"/>
      <c r="P9" s="307"/>
      <c r="Q9" s="468"/>
      <c r="R9" s="468"/>
      <c r="S9" s="468"/>
    </row>
    <row r="10" spans="2:19" s="3" customFormat="1" ht="13.5" customHeight="1">
      <c r="B10" s="53">
        <v>2019</v>
      </c>
      <c r="C10" s="55">
        <v>0</v>
      </c>
      <c r="D10" s="46">
        <v>30</v>
      </c>
      <c r="E10" s="46">
        <v>0</v>
      </c>
      <c r="F10" s="46">
        <v>0</v>
      </c>
      <c r="G10" s="47">
        <f>SUM(C10:F10)</f>
        <v>30</v>
      </c>
      <c r="H10" s="338"/>
      <c r="I10" s="44"/>
      <c r="J10" s="111" t="s">
        <v>110</v>
      </c>
      <c r="K10" s="330">
        <v>600</v>
      </c>
      <c r="L10" s="88"/>
      <c r="M10" s="308"/>
      <c r="N10" s="372"/>
      <c r="O10" s="315"/>
      <c r="P10" s="463" t="s">
        <v>130</v>
      </c>
      <c r="Q10" s="463"/>
      <c r="R10" s="463"/>
      <c r="S10" s="463"/>
    </row>
    <row r="11" spans="2:19" s="2" customFormat="1" ht="13.5" customHeight="1">
      <c r="B11" s="53">
        <v>2019</v>
      </c>
      <c r="C11" s="55">
        <v>0</v>
      </c>
      <c r="D11" s="46">
        <v>7</v>
      </c>
      <c r="E11" s="46">
        <v>10</v>
      </c>
      <c r="F11" s="46">
        <v>0</v>
      </c>
      <c r="G11" s="47">
        <f aca="true" t="shared" si="0" ref="G11:G21">SUM(C11:F11)</f>
        <v>17</v>
      </c>
      <c r="H11" s="217"/>
      <c r="I11" s="217"/>
      <c r="J11" s="113" t="s">
        <v>111</v>
      </c>
      <c r="K11" s="260">
        <f>K10</f>
        <v>600</v>
      </c>
      <c r="L11" s="88"/>
      <c r="M11" s="456" t="s">
        <v>122</v>
      </c>
      <c r="N11" s="456"/>
      <c r="O11" s="314"/>
      <c r="P11" s="464"/>
      <c r="Q11" s="464"/>
      <c r="R11" s="464"/>
      <c r="S11" s="464"/>
    </row>
    <row r="12" spans="2:19" s="2" customFormat="1" ht="13.5" customHeight="1">
      <c r="B12" s="53">
        <v>2017</v>
      </c>
      <c r="C12" s="55">
        <v>0</v>
      </c>
      <c r="D12" s="46">
        <v>25</v>
      </c>
      <c r="E12" s="46">
        <v>3</v>
      </c>
      <c r="F12" s="46">
        <v>0</v>
      </c>
      <c r="G12" s="47">
        <f t="shared" si="0"/>
        <v>28</v>
      </c>
      <c r="H12" s="8"/>
      <c r="I12" s="8"/>
      <c r="L12" s="88"/>
      <c r="M12" s="313" t="s">
        <v>119</v>
      </c>
      <c r="N12" s="387">
        <v>0.98</v>
      </c>
      <c r="O12" s="306"/>
      <c r="P12" s="312" t="s">
        <v>125</v>
      </c>
      <c r="Q12" s="215"/>
      <c r="R12" s="215" t="s">
        <v>126</v>
      </c>
      <c r="S12" s="215" t="s">
        <v>127</v>
      </c>
    </row>
    <row r="13" spans="2:19" s="2" customFormat="1" ht="13.5" customHeight="1">
      <c r="B13" s="53">
        <v>2016</v>
      </c>
      <c r="C13" s="55">
        <v>0</v>
      </c>
      <c r="D13" s="46">
        <v>3</v>
      </c>
      <c r="E13" s="46">
        <v>0</v>
      </c>
      <c r="F13" s="46">
        <v>1</v>
      </c>
      <c r="G13" s="47">
        <f t="shared" si="0"/>
        <v>4</v>
      </c>
      <c r="H13" s="8"/>
      <c r="I13" s="59"/>
      <c r="J13" s="461" t="s">
        <v>171</v>
      </c>
      <c r="K13" s="461"/>
      <c r="L13" s="88"/>
      <c r="M13" s="311"/>
      <c r="N13" s="388"/>
      <c r="O13" s="316"/>
      <c r="P13" s="465" t="s">
        <v>26</v>
      </c>
      <c r="Q13" s="466"/>
      <c r="R13" s="301">
        <f>C40</f>
        <v>0.5</v>
      </c>
      <c r="S13" s="301">
        <f>D40</f>
        <v>0.5</v>
      </c>
    </row>
    <row r="14" spans="2:19" s="2" customFormat="1" ht="13.5" customHeight="1">
      <c r="B14" s="53">
        <v>2015</v>
      </c>
      <c r="C14" s="55">
        <v>0</v>
      </c>
      <c r="D14" s="46">
        <v>2</v>
      </c>
      <c r="E14" s="46">
        <v>0</v>
      </c>
      <c r="F14" s="46">
        <v>0</v>
      </c>
      <c r="G14" s="47">
        <f t="shared" si="0"/>
        <v>2</v>
      </c>
      <c r="H14" s="8"/>
      <c r="I14" s="59"/>
      <c r="J14" s="111" t="s">
        <v>82</v>
      </c>
      <c r="K14" s="330">
        <v>77.5</v>
      </c>
      <c r="L14" s="374" t="s">
        <v>117</v>
      </c>
      <c r="P14" s="465" t="s">
        <v>128</v>
      </c>
      <c r="Q14" s="466"/>
      <c r="R14" s="301">
        <f>C41</f>
        <v>0.6758620689655173</v>
      </c>
      <c r="S14" s="301">
        <f>D41</f>
        <v>0.32413793103448274</v>
      </c>
    </row>
    <row r="15" spans="2:19" s="2" customFormat="1" ht="13.5" customHeight="1">
      <c r="B15" s="53">
        <v>2014</v>
      </c>
      <c r="C15" s="56">
        <v>0</v>
      </c>
      <c r="D15" s="48">
        <v>8</v>
      </c>
      <c r="E15" s="48">
        <v>0</v>
      </c>
      <c r="F15" s="48">
        <v>1</v>
      </c>
      <c r="G15" s="47">
        <f t="shared" si="0"/>
        <v>9</v>
      </c>
      <c r="H15" s="8"/>
      <c r="I15" s="59"/>
      <c r="L15" s="88"/>
      <c r="M15" s="308"/>
      <c r="N15" s="320"/>
      <c r="O15" s="307"/>
      <c r="P15" s="469" t="s">
        <v>129</v>
      </c>
      <c r="Q15" s="466"/>
      <c r="R15" s="301">
        <f>C42</f>
        <v>0.4166666666666667</v>
      </c>
      <c r="S15" s="301">
        <f>D42</f>
        <v>0.5833333333333334</v>
      </c>
    </row>
    <row r="16" spans="2:19" s="2" customFormat="1" ht="13.5" customHeight="1">
      <c r="B16" s="53">
        <v>2013</v>
      </c>
      <c r="C16" s="56">
        <v>0</v>
      </c>
      <c r="D16" s="48">
        <v>23</v>
      </c>
      <c r="E16" s="48">
        <v>2</v>
      </c>
      <c r="F16" s="48">
        <v>8</v>
      </c>
      <c r="G16" s="47">
        <f t="shared" si="0"/>
        <v>33</v>
      </c>
      <c r="H16" s="8"/>
      <c r="I16" s="8"/>
      <c r="J16" s="461" t="s">
        <v>100</v>
      </c>
      <c r="K16" s="461"/>
      <c r="M16" s="308"/>
      <c r="N16" s="309"/>
      <c r="O16" s="307"/>
      <c r="S16" s="286">
        <v>43466</v>
      </c>
    </row>
    <row r="17" spans="2:15" s="2" customFormat="1" ht="13.5" customHeight="1">
      <c r="B17" s="344">
        <v>2012</v>
      </c>
      <c r="C17" s="345">
        <v>0</v>
      </c>
      <c r="D17" s="346">
        <v>10</v>
      </c>
      <c r="E17" s="346">
        <v>15</v>
      </c>
      <c r="F17" s="346">
        <v>4</v>
      </c>
      <c r="G17" s="347">
        <f t="shared" si="0"/>
        <v>29</v>
      </c>
      <c r="H17" s="8"/>
      <c r="I17" s="8"/>
      <c r="J17" s="111" t="s">
        <v>101</v>
      </c>
      <c r="K17" s="330">
        <v>1043.02</v>
      </c>
      <c r="M17" s="321"/>
      <c r="N17" s="472"/>
      <c r="O17" s="472"/>
    </row>
    <row r="18" spans="2:15" s="2" customFormat="1" ht="13.5" customHeight="1">
      <c r="B18" s="344">
        <v>2011</v>
      </c>
      <c r="C18" s="345">
        <v>0</v>
      </c>
      <c r="D18" s="346">
        <v>0</v>
      </c>
      <c r="E18" s="346">
        <v>0</v>
      </c>
      <c r="F18" s="346">
        <v>0</v>
      </c>
      <c r="G18" s="347">
        <f t="shared" si="0"/>
        <v>0</v>
      </c>
      <c r="H18" s="8"/>
      <c r="I18" s="8"/>
      <c r="J18" s="112" t="s">
        <v>102</v>
      </c>
      <c r="K18" s="330">
        <v>1153.88</v>
      </c>
      <c r="M18" s="322"/>
      <c r="N18" s="472"/>
      <c r="O18" s="472"/>
    </row>
    <row r="19" spans="2:19" s="2" customFormat="1" ht="13.5" customHeight="1">
      <c r="B19" s="344">
        <v>2010</v>
      </c>
      <c r="C19" s="345">
        <v>0</v>
      </c>
      <c r="D19" s="346">
        <v>26</v>
      </c>
      <c r="E19" s="346">
        <v>2</v>
      </c>
      <c r="F19" s="346">
        <v>6</v>
      </c>
      <c r="G19" s="347">
        <f t="shared" si="0"/>
        <v>34</v>
      </c>
      <c r="H19" s="8"/>
      <c r="I19" s="8"/>
      <c r="J19" s="112" t="s">
        <v>103</v>
      </c>
      <c r="K19" s="330">
        <v>425</v>
      </c>
      <c r="L19" s="69"/>
      <c r="M19" s="323"/>
      <c r="N19" s="472"/>
      <c r="O19" s="472"/>
      <c r="P19"/>
      <c r="Q19"/>
      <c r="R19"/>
      <c r="S19"/>
    </row>
    <row r="20" spans="2:19" s="2" customFormat="1" ht="13.5" customHeight="1">
      <c r="B20" s="344">
        <v>2009</v>
      </c>
      <c r="C20" s="345">
        <v>0</v>
      </c>
      <c r="D20" s="346">
        <v>11</v>
      </c>
      <c r="E20" s="346">
        <v>4</v>
      </c>
      <c r="F20" s="346">
        <v>0</v>
      </c>
      <c r="G20" s="347">
        <f t="shared" si="0"/>
        <v>15</v>
      </c>
      <c r="H20" s="8"/>
      <c r="I20" s="8"/>
      <c r="J20" s="112" t="s">
        <v>104</v>
      </c>
      <c r="K20" s="330">
        <v>443</v>
      </c>
      <c r="L20" s="69"/>
      <c r="M20" s="321"/>
      <c r="N20" s="472"/>
      <c r="O20" s="472"/>
      <c r="P20"/>
      <c r="Q20" s="301"/>
      <c r="R20" s="301"/>
      <c r="S20"/>
    </row>
    <row r="21" spans="2:19" s="2" customFormat="1" ht="13.5" customHeight="1">
      <c r="B21" s="354">
        <v>2008</v>
      </c>
      <c r="C21" s="355"/>
      <c r="D21" s="356">
        <v>11</v>
      </c>
      <c r="E21" s="356">
        <v>5</v>
      </c>
      <c r="F21" s="356">
        <v>0</v>
      </c>
      <c r="G21" s="347">
        <f t="shared" si="0"/>
        <v>16</v>
      </c>
      <c r="H21" s="8"/>
      <c r="I21" s="8"/>
      <c r="J21" s="8"/>
      <c r="K21" s="357"/>
      <c r="L21" s="69"/>
      <c r="M21" s="321"/>
      <c r="N21" s="472"/>
      <c r="O21" s="472"/>
      <c r="P21"/>
      <c r="Q21" s="301"/>
      <c r="R21" s="301"/>
      <c r="S21"/>
    </row>
    <row r="22" spans="2:19" s="2" customFormat="1" ht="13.5" customHeight="1">
      <c r="B22" s="58" t="s">
        <v>22</v>
      </c>
      <c r="C22" s="57">
        <f>SUM(C12:C20)</f>
        <v>0</v>
      </c>
      <c r="D22" s="49">
        <f>SUM(D10:D21)</f>
        <v>156</v>
      </c>
      <c r="E22" s="49">
        <f>SUM(E10:E21)</f>
        <v>41</v>
      </c>
      <c r="F22" s="49">
        <v>20</v>
      </c>
      <c r="G22" s="50">
        <f>SUM(C22:F22)</f>
        <v>217</v>
      </c>
      <c r="H22" s="8"/>
      <c r="I22" s="8"/>
      <c r="L22" s="69"/>
      <c r="M22" s="324"/>
      <c r="N22" s="472"/>
      <c r="O22" s="472"/>
      <c r="P22"/>
      <c r="Q22" s="301"/>
      <c r="R22" s="301"/>
      <c r="S22" s="288"/>
    </row>
    <row r="23" spans="2:19" s="2" customFormat="1" ht="15" customHeight="1">
      <c r="B23" s="58"/>
      <c r="C23" s="51"/>
      <c r="D23" s="51"/>
      <c r="E23" s="51"/>
      <c r="F23" s="51"/>
      <c r="G23" s="51"/>
      <c r="H23" s="8"/>
      <c r="I23" s="8"/>
      <c r="J23" s="461" t="s">
        <v>97</v>
      </c>
      <c r="K23" s="461"/>
      <c r="L23" s="69"/>
      <c r="M23" s="307"/>
      <c r="N23" s="472"/>
      <c r="O23" s="472"/>
      <c r="P23"/>
      <c r="Q23" s="301"/>
      <c r="R23" s="301"/>
      <c r="S23" s="288"/>
    </row>
    <row r="24" spans="8:19" s="2" customFormat="1" ht="9.75" customHeight="1">
      <c r="H24" s="8"/>
      <c r="I24" s="8"/>
      <c r="J24" s="111" t="s">
        <v>98</v>
      </c>
      <c r="K24" s="331">
        <f>G22</f>
        <v>217</v>
      </c>
      <c r="L24" s="69"/>
      <c r="M24" s="314"/>
      <c r="N24" s="472"/>
      <c r="O24" s="472"/>
      <c r="P24" s="289"/>
      <c r="Q24" s="288"/>
      <c r="R24" s="288"/>
      <c r="S24" s="288"/>
    </row>
    <row r="25" spans="8:19" s="2" customFormat="1" ht="10.5" customHeight="1">
      <c r="H25" s="8"/>
      <c r="I25" s="8"/>
      <c r="J25" s="112" t="s">
        <v>115</v>
      </c>
      <c r="K25" s="332">
        <v>247.95</v>
      </c>
      <c r="L25" s="58"/>
      <c r="M25" s="307"/>
      <c r="N25" s="472"/>
      <c r="O25" s="472"/>
      <c r="P25" s="289"/>
      <c r="Q25" s="288"/>
      <c r="R25" s="288"/>
      <c r="S25" s="288"/>
    </row>
    <row r="26" spans="2:22" s="2" customFormat="1" ht="13.5" customHeight="1">
      <c r="B26" s="533" t="s">
        <v>257</v>
      </c>
      <c r="C26" s="533"/>
      <c r="D26" s="384"/>
      <c r="E26" s="384"/>
      <c r="F26" s="384"/>
      <c r="G26" s="384"/>
      <c r="H26" s="338"/>
      <c r="I26" s="59"/>
      <c r="J26" s="112" t="s">
        <v>116</v>
      </c>
      <c r="K26" s="332">
        <v>2154.47</v>
      </c>
      <c r="L26" s="58"/>
      <c r="M26" s="307"/>
      <c r="N26" s="307"/>
      <c r="O26" s="307"/>
      <c r="P26" s="287"/>
      <c r="Q26" s="288"/>
      <c r="R26" s="288"/>
      <c r="S26" s="288"/>
      <c r="T26" s="290"/>
      <c r="U26" s="290"/>
      <c r="V26" s="291"/>
    </row>
    <row r="27" spans="2:19" s="2" customFormat="1" ht="15" customHeight="1">
      <c r="B27" s="84" t="s">
        <v>61</v>
      </c>
      <c r="C27" s="85">
        <v>0</v>
      </c>
      <c r="D27" s="86">
        <v>145</v>
      </c>
      <c r="E27" s="86">
        <v>33</v>
      </c>
      <c r="F27" s="86">
        <v>17</v>
      </c>
      <c r="G27" s="87">
        <f>SUM(C27:F27)</f>
        <v>195</v>
      </c>
      <c r="H27" s="8"/>
      <c r="I27" s="8"/>
      <c r="J27" s="113" t="s">
        <v>99</v>
      </c>
      <c r="K27" s="260">
        <f>K26+K25</f>
        <v>2402.4199999999996</v>
      </c>
      <c r="L27" s="58"/>
      <c r="M27" s="325"/>
      <c r="N27" s="307"/>
      <c r="O27" s="307"/>
      <c r="P27" s="289"/>
      <c r="Q27" s="288"/>
      <c r="R27" s="288"/>
      <c r="S27" s="288"/>
    </row>
    <row r="28" spans="2:19" s="2" customFormat="1" ht="12.75">
      <c r="B28" s="8"/>
      <c r="C28" s="51"/>
      <c r="D28" s="51"/>
      <c r="E28" s="51"/>
      <c r="F28" s="51"/>
      <c r="G28" s="51"/>
      <c r="H28" s="1"/>
      <c r="I28" s="1"/>
      <c r="J28" s="88"/>
      <c r="K28" s="260" t="s">
        <v>117</v>
      </c>
      <c r="M28" s="307"/>
      <c r="N28" s="307"/>
      <c r="O28" s="307"/>
      <c r="P28" s="289"/>
      <c r="Q28" s="288"/>
      <c r="R28" s="288"/>
      <c r="S28" s="288"/>
    </row>
    <row r="29" spans="2:19" ht="12.75">
      <c r="B29" s="82" t="s">
        <v>48</v>
      </c>
      <c r="C29" s="83">
        <f>IF(C22=0,0,((C10*(2019-$B$10))+(C11*(2019-$B$11))+(C12*(2019-$B12))+(C13*(2019-$B13))+(C14*(2019-$B14))+(C15*(2019-$B15))+(C16*(2019-$B16))+(C17*(2019-$B17))+(C18*(2019-$B18))+(C19*(2019-$B19))+(C20*(2019-$B20)))/C22)</f>
        <v>0</v>
      </c>
      <c r="D29" s="83">
        <f>IF(D22=0,0,((D10*(2019-$B$10))+(D11*(2019-$B$11))+(D12*(2019-$B12))+(D13*(2019-$B13))+(D14*(2019-$B14))+(D15*(2019-$B15))+(D16*(2019-$B16))+(D17*(2019-$B17))+(D18*(2019-$B18))+(D19*(2019-$B19))+(D20*(2019-$B20))+(D21*(2019-$B21)))/D22)</f>
        <v>5</v>
      </c>
      <c r="E29" s="83">
        <f>IF(E22=0,0,((E10*(2019-$B$10))+(E11*(2019-$B$11))+(E12*(2019-$B12))+(E13*(2019-$B13))+(E14*(2019-$B14))+(E15*(2019-$B15))+(E16*(2019-$B16))+(E17*(2019-$B17))+(E18*(2019-$B18))+(E19*(2019-$B19))+(E20*(2019-$B20))+(E21*(2019-$B21)))/E22)</f>
        <v>5.7560975609756095</v>
      </c>
      <c r="F29" s="83">
        <f>IF(F22=0,0,((F10*(2019-$B$10))+(F11*(2019-$B$11))+(F12*(2019-$B12))+(F13*(2019-$B13))+(F14*(2019-$B14))+(F15*(2019-$B15))+(F16*(2019-$B16))+(F17*(2019-$B17))+(F18*(2019-$B18))+(F19*(2019-$B19))+(F20*(2019-$B20))+(F21*(2019-$B21)))/F22)</f>
        <v>6.9</v>
      </c>
      <c r="G29" s="83">
        <f>IF(G22=0,0,((G10*(2019-$B$10))+(G11*(2019-$B$11))+(G12*(2019-$B12))+(G13*(2019-$B13))+(G14*(2019-$B14))+(G15*(2019-$B15))+(G16*(2019-$B16))+(G17*(2019-$B17))+(G18*(2019-$B18))+(G19*(2019-$B19))+(G20*(2019-$B20))+(G21*(2019-$B21)))/G22)</f>
        <v>5.317972350230415</v>
      </c>
      <c r="J29" s="333" t="s">
        <v>105</v>
      </c>
      <c r="K29" s="334" t="s">
        <v>117</v>
      </c>
      <c r="M29" s="307"/>
      <c r="N29" s="307"/>
      <c r="O29" s="326"/>
      <c r="P29" s="289"/>
      <c r="Q29" s="288"/>
      <c r="R29" s="288"/>
      <c r="S29" s="288"/>
    </row>
    <row r="30" spans="2:19" ht="12.75">
      <c r="B30" s="84" t="s">
        <v>165</v>
      </c>
      <c r="C30" s="349"/>
      <c r="D30" s="350">
        <f>((D22-D27)/D22)</f>
        <v>0.07051282051282051</v>
      </c>
      <c r="E30" s="350">
        <f>((E22-E27)/E22)</f>
        <v>0.1951219512195122</v>
      </c>
      <c r="F30" s="350">
        <f>((F22-F27)/F22)</f>
        <v>0.15</v>
      </c>
      <c r="G30" s="350">
        <f>((G22-G27)/G22)</f>
        <v>0.10138248847926268</v>
      </c>
      <c r="J30" s="111" t="s">
        <v>106</v>
      </c>
      <c r="K30" s="332">
        <v>60408</v>
      </c>
      <c r="M30" s="327"/>
      <c r="N30" s="307"/>
      <c r="O30" s="326"/>
      <c r="P30" s="289"/>
      <c r="Q30" s="288"/>
      <c r="R30" s="288"/>
      <c r="S30" s="288"/>
    </row>
    <row r="31" spans="10:19" ht="12.75">
      <c r="J31" s="111" t="s">
        <v>112</v>
      </c>
      <c r="K31" s="332">
        <v>39235</v>
      </c>
      <c r="M31" s="306"/>
      <c r="N31" s="326"/>
      <c r="O31" s="326"/>
      <c r="P31" s="287"/>
      <c r="Q31" s="288"/>
      <c r="R31" s="288"/>
      <c r="S31" s="288"/>
    </row>
    <row r="32" spans="6:19" ht="12.75">
      <c r="F32" s="339"/>
      <c r="J32" s="111" t="s">
        <v>113</v>
      </c>
      <c r="K32" s="332">
        <v>36653</v>
      </c>
      <c r="M32" s="326"/>
      <c r="N32" s="326"/>
      <c r="O32" s="326"/>
      <c r="P32" s="289"/>
      <c r="Q32" s="288"/>
      <c r="R32" s="288"/>
      <c r="S32" s="288"/>
    </row>
    <row r="33" spans="2:19" ht="12.75">
      <c r="B33" s="532" t="s">
        <v>258</v>
      </c>
      <c r="C33" s="532"/>
      <c r="D33" s="532"/>
      <c r="J33" s="112" t="s">
        <v>114</v>
      </c>
      <c r="K33" s="332">
        <v>24407</v>
      </c>
      <c r="M33" s="326"/>
      <c r="N33" s="326"/>
      <c r="O33" s="326"/>
      <c r="P33" s="289"/>
      <c r="Q33" s="288"/>
      <c r="R33" s="288"/>
      <c r="S33" s="288"/>
    </row>
    <row r="34" spans="2:19" ht="15">
      <c r="B34" s="342" t="s">
        <v>159</v>
      </c>
      <c r="C34" s="342" t="s">
        <v>126</v>
      </c>
      <c r="D34" s="342" t="s">
        <v>127</v>
      </c>
      <c r="E34" s="342" t="s">
        <v>21</v>
      </c>
      <c r="J34" s="112" t="s">
        <v>144</v>
      </c>
      <c r="K34" s="332">
        <v>59105</v>
      </c>
      <c r="M34" s="328"/>
      <c r="N34" s="326"/>
      <c r="O34" s="326"/>
      <c r="P34" s="287"/>
      <c r="Q34" s="288"/>
      <c r="R34" s="288"/>
      <c r="S34" s="288"/>
    </row>
    <row r="35" spans="2:15" ht="12.75">
      <c r="B35" s="343" t="s">
        <v>26</v>
      </c>
      <c r="C35" s="348">
        <v>10</v>
      </c>
      <c r="D35" s="348">
        <v>10</v>
      </c>
      <c r="E35" s="348">
        <f>D35+C35</f>
        <v>20</v>
      </c>
      <c r="J35" s="113" t="s">
        <v>99</v>
      </c>
      <c r="K35" s="335">
        <v>219808</v>
      </c>
      <c r="M35" s="351"/>
      <c r="N35" s="326"/>
      <c r="O35" s="326"/>
    </row>
    <row r="36" spans="2:15" ht="12.75">
      <c r="B36" s="343" t="s">
        <v>128</v>
      </c>
      <c r="C36" s="348">
        <v>98</v>
      </c>
      <c r="D36" s="348">
        <v>47</v>
      </c>
      <c r="E36" s="348">
        <f>D36+C36</f>
        <v>145</v>
      </c>
      <c r="J36" s="306"/>
      <c r="K36" s="329"/>
      <c r="M36" s="335"/>
      <c r="N36" s="326"/>
      <c r="O36" s="326"/>
    </row>
    <row r="37" spans="2:15" ht="12.75">
      <c r="B37" s="343" t="s">
        <v>129</v>
      </c>
      <c r="C37" s="348">
        <v>15</v>
      </c>
      <c r="D37" s="348">
        <v>21</v>
      </c>
      <c r="E37" s="348">
        <f>D37+C37</f>
        <v>36</v>
      </c>
      <c r="M37" s="326"/>
      <c r="N37" s="326"/>
      <c r="O37" s="326"/>
    </row>
    <row r="38" spans="13:21" ht="12.75">
      <c r="M38" s="326"/>
      <c r="N38" s="326"/>
      <c r="O38" s="326"/>
      <c r="Q38" s="292"/>
      <c r="R38" s="292"/>
      <c r="S38" s="292"/>
      <c r="T38" s="293"/>
      <c r="U38" s="293"/>
    </row>
    <row r="39" spans="2:5" ht="15">
      <c r="B39" s="342" t="s">
        <v>159</v>
      </c>
      <c r="C39" s="342" t="s">
        <v>126</v>
      </c>
      <c r="D39" s="342" t="s">
        <v>127</v>
      </c>
      <c r="E39" s="342" t="s">
        <v>21</v>
      </c>
    </row>
    <row r="40" spans="2:21" ht="12.75">
      <c r="B40" s="343" t="s">
        <v>26</v>
      </c>
      <c r="C40" s="301">
        <f>C35/E35</f>
        <v>0.5</v>
      </c>
      <c r="D40" s="301">
        <f>D35/E35</f>
        <v>0.5</v>
      </c>
      <c r="E40" s="348">
        <f>D40+C40</f>
        <v>1</v>
      </c>
      <c r="J40" s="460"/>
      <c r="Q40" s="292"/>
      <c r="R40" s="292"/>
      <c r="S40" s="292"/>
      <c r="T40" s="293"/>
      <c r="U40" s="293"/>
    </row>
    <row r="41" spans="2:10" ht="12.75" customHeight="1">
      <c r="B41" s="343" t="s">
        <v>128</v>
      </c>
      <c r="C41" s="301">
        <f>C36/E36</f>
        <v>0.6758620689655173</v>
      </c>
      <c r="D41" s="301">
        <f>D36/E36</f>
        <v>0.32413793103448274</v>
      </c>
      <c r="E41" s="348">
        <f>D41+C41</f>
        <v>1</v>
      </c>
      <c r="J41" s="460"/>
    </row>
    <row r="42" spans="2:10" ht="12.75" customHeight="1">
      <c r="B42" s="343" t="s">
        <v>129</v>
      </c>
      <c r="C42" s="301">
        <f>C37/E37</f>
        <v>0.4166666666666667</v>
      </c>
      <c r="D42" s="301">
        <f>D37/E37</f>
        <v>0.5833333333333334</v>
      </c>
      <c r="E42" s="348">
        <f>D42+C42</f>
        <v>1</v>
      </c>
      <c r="J42" s="460"/>
    </row>
    <row r="43" spans="9:11" ht="12.75" customHeight="1">
      <c r="I43" s="59"/>
      <c r="J43" s="460"/>
      <c r="K43" s="59"/>
    </row>
    <row r="44" spans="10:11" ht="12.75" customHeight="1">
      <c r="J44" s="460"/>
      <c r="K44" s="293"/>
    </row>
    <row r="45" ht="12.75" customHeight="1">
      <c r="J45" s="460"/>
    </row>
    <row r="48" spans="8:11" ht="11.25">
      <c r="H48" s="337"/>
      <c r="K48" s="284"/>
    </row>
    <row r="49" spans="3:8" ht="11.25">
      <c r="C49" s="470"/>
      <c r="D49" s="470"/>
      <c r="E49" s="44"/>
      <c r="F49" s="44"/>
      <c r="H49" s="337"/>
    </row>
    <row r="50" spans="3:8" ht="11.25">
      <c r="C50" s="470"/>
      <c r="D50" s="470"/>
      <c r="E50" s="44"/>
      <c r="F50" s="44"/>
      <c r="H50" s="337"/>
    </row>
    <row r="54" spans="2:7" ht="11.25">
      <c r="B54" s="8" t="s">
        <v>162</v>
      </c>
      <c r="C54" s="8"/>
      <c r="D54" s="8"/>
      <c r="E54" s="8"/>
      <c r="F54" s="8"/>
      <c r="G54" s="8"/>
    </row>
    <row r="55" spans="2:7" ht="11.25">
      <c r="B55" s="52" t="s">
        <v>46</v>
      </c>
      <c r="C55" s="54" t="s">
        <v>25</v>
      </c>
      <c r="D55" s="41" t="s">
        <v>45</v>
      </c>
      <c r="E55" s="41" t="s">
        <v>32</v>
      </c>
      <c r="F55" s="41" t="s">
        <v>26</v>
      </c>
      <c r="G55" s="42" t="s">
        <v>47</v>
      </c>
    </row>
    <row r="56" spans="2:7" ht="11.25">
      <c r="B56" s="53">
        <v>2019</v>
      </c>
      <c r="C56" s="55">
        <v>0</v>
      </c>
      <c r="D56" s="46">
        <v>7</v>
      </c>
      <c r="E56" s="46">
        <v>10</v>
      </c>
      <c r="F56" s="46">
        <v>0</v>
      </c>
      <c r="G56" s="47">
        <f>SUM(C56:F56)</f>
        <v>17</v>
      </c>
    </row>
    <row r="57" spans="2:7" ht="11.25">
      <c r="B57" s="53">
        <v>2017</v>
      </c>
      <c r="C57" s="55">
        <v>0</v>
      </c>
      <c r="D57" s="46">
        <v>25</v>
      </c>
      <c r="E57" s="46">
        <v>3</v>
      </c>
      <c r="F57" s="46">
        <v>0</v>
      </c>
      <c r="G57" s="47">
        <f aca="true" t="shared" si="1" ref="G57:G67">SUM(C57:F57)</f>
        <v>28</v>
      </c>
    </row>
    <row r="58" spans="2:7" ht="11.25">
      <c r="B58" s="53">
        <v>2016</v>
      </c>
      <c r="C58" s="55">
        <v>0</v>
      </c>
      <c r="D58" s="46">
        <v>3</v>
      </c>
      <c r="E58" s="46">
        <v>0</v>
      </c>
      <c r="F58" s="46">
        <v>1</v>
      </c>
      <c r="G58" s="47">
        <f t="shared" si="1"/>
        <v>4</v>
      </c>
    </row>
    <row r="59" spans="2:7" ht="11.25">
      <c r="B59" s="53">
        <v>2015</v>
      </c>
      <c r="C59" s="55">
        <v>0</v>
      </c>
      <c r="D59" s="46">
        <v>2</v>
      </c>
      <c r="E59" s="46">
        <v>0</v>
      </c>
      <c r="F59" s="46">
        <v>0</v>
      </c>
      <c r="G59" s="47">
        <f t="shared" si="1"/>
        <v>2</v>
      </c>
    </row>
    <row r="60" spans="2:7" ht="11.25">
      <c r="B60" s="53">
        <v>2014</v>
      </c>
      <c r="C60" s="55">
        <v>0</v>
      </c>
      <c r="D60" s="46">
        <v>8</v>
      </c>
      <c r="E60" s="46">
        <v>0</v>
      </c>
      <c r="F60" s="46">
        <v>1</v>
      </c>
      <c r="G60" s="47">
        <f t="shared" si="1"/>
        <v>9</v>
      </c>
    </row>
    <row r="61" spans="2:7" ht="11.25">
      <c r="B61" s="53">
        <v>2013</v>
      </c>
      <c r="C61" s="56">
        <v>0</v>
      </c>
      <c r="D61" s="48">
        <v>23</v>
      </c>
      <c r="E61" s="48">
        <v>2</v>
      </c>
      <c r="F61" s="48">
        <v>8</v>
      </c>
      <c r="G61" s="47">
        <f t="shared" si="1"/>
        <v>33</v>
      </c>
    </row>
    <row r="62" spans="2:7" ht="11.25">
      <c r="B62" s="53">
        <v>2012</v>
      </c>
      <c r="C62" s="56">
        <v>0</v>
      </c>
      <c r="D62" s="48">
        <v>10</v>
      </c>
      <c r="E62" s="48">
        <v>15</v>
      </c>
      <c r="F62" s="48">
        <v>4</v>
      </c>
      <c r="G62" s="47">
        <f t="shared" si="1"/>
        <v>29</v>
      </c>
    </row>
    <row r="63" spans="2:7" ht="11.25">
      <c r="B63" s="53">
        <v>2011</v>
      </c>
      <c r="C63" s="56">
        <v>0</v>
      </c>
      <c r="D63" s="48">
        <v>0</v>
      </c>
      <c r="E63" s="48">
        <v>0</v>
      </c>
      <c r="F63" s="48">
        <v>0</v>
      </c>
      <c r="G63" s="47">
        <f t="shared" si="1"/>
        <v>0</v>
      </c>
    </row>
    <row r="64" spans="2:7" ht="11.25">
      <c r="B64" s="53">
        <v>2010</v>
      </c>
      <c r="C64" s="56">
        <v>0</v>
      </c>
      <c r="D64" s="48">
        <v>26</v>
      </c>
      <c r="E64" s="48">
        <v>2</v>
      </c>
      <c r="F64" s="48">
        <v>6</v>
      </c>
      <c r="G64" s="47">
        <f t="shared" si="1"/>
        <v>34</v>
      </c>
    </row>
    <row r="65" spans="2:7" ht="11.25">
      <c r="B65" s="53">
        <v>2009</v>
      </c>
      <c r="C65" s="56">
        <v>0</v>
      </c>
      <c r="D65" s="48">
        <v>11</v>
      </c>
      <c r="E65" s="48">
        <v>4</v>
      </c>
      <c r="F65" s="48">
        <v>0</v>
      </c>
      <c r="G65" s="47">
        <f t="shared" si="1"/>
        <v>15</v>
      </c>
    </row>
    <row r="66" spans="2:7" ht="11.25">
      <c r="B66" s="53">
        <v>2008</v>
      </c>
      <c r="C66" s="56">
        <v>0</v>
      </c>
      <c r="D66" s="48">
        <v>41</v>
      </c>
      <c r="E66" s="48">
        <v>5</v>
      </c>
      <c r="F66" s="48">
        <v>0</v>
      </c>
      <c r="G66" s="47">
        <f t="shared" si="1"/>
        <v>46</v>
      </c>
    </row>
    <row r="67" spans="2:7" ht="11.25">
      <c r="B67" s="58" t="s">
        <v>22</v>
      </c>
      <c r="C67" s="57">
        <f>SUM(C58:C66)</f>
        <v>0</v>
      </c>
      <c r="D67" s="49">
        <f>SUM(D56:D66)</f>
        <v>156</v>
      </c>
      <c r="E67" s="49">
        <f>SUM(E56:E66)</f>
        <v>41</v>
      </c>
      <c r="F67" s="49">
        <f>SUM(F56:F66)</f>
        <v>20</v>
      </c>
      <c r="G67" s="50">
        <f t="shared" si="1"/>
        <v>217</v>
      </c>
    </row>
    <row r="68" spans="2:7" ht="11.25">
      <c r="B68" s="58"/>
      <c r="C68" s="51"/>
      <c r="D68" s="51"/>
      <c r="E68" s="51"/>
      <c r="F68" s="51"/>
      <c r="G68" s="51"/>
    </row>
    <row r="69" spans="2:7" ht="11.25">
      <c r="B69" s="84" t="s">
        <v>61</v>
      </c>
      <c r="C69" s="85">
        <v>0</v>
      </c>
      <c r="D69" s="86">
        <v>143</v>
      </c>
      <c r="E69" s="86">
        <v>35</v>
      </c>
      <c r="F69" s="86">
        <v>17</v>
      </c>
      <c r="G69" s="87">
        <f>SUM(C69:F69)</f>
        <v>195</v>
      </c>
    </row>
    <row r="70" spans="2:7" ht="11.25">
      <c r="B70" s="8"/>
      <c r="C70" s="51"/>
      <c r="D70" s="51"/>
      <c r="E70" s="51"/>
      <c r="F70" s="51"/>
      <c r="G70" s="51"/>
    </row>
    <row r="71" spans="2:7" ht="12">
      <c r="B71" s="82" t="s">
        <v>48</v>
      </c>
      <c r="C71" s="83">
        <f>IF(C67=0,0,((C56*(2019-$B$10))+(C57*(2019-$B$11))+(C58*(2019-$B58))+(C59*(2019-$B59))+(C60*(2019-$B60))+(C61*(2019-$B61))+(C62*(2019-$B62))+(C63*(2019-$B63))+(C64*(2019-$B64))+(C65*(2019-$B65))+(C66*(2019-$B66)))/C67)</f>
        <v>0</v>
      </c>
      <c r="D71" s="83">
        <f>IF(D67=0,0,((D56*(2019-$B$10))+(D57*(2019-$B$11))+(D58*(2019-$B58))+(D59*(2019-$B59))+(D60*(2019-$B60))+(D61*(2019-$B61))+(D62*(2019-$B62))+(D63*(2019-$B63))+(D64*(2019-$B64))+(D65*(2019-$B65))+(D66*(2019-$B66)))/D67)</f>
        <v>6.794871794871795</v>
      </c>
      <c r="E71" s="83">
        <f>IF(E67=0,0,((E56*(2019-$B$10))+(E57*(2019-$B$11))+(E58*(2019-$B58))+(E59*(2019-$B59))+(E60*(2019-$B60))+(E61*(2019-$B61))+(E62*(2019-$B62))+(E63*(2019-$B63))+(E64*(2019-$B64))+(E65*(2019-$B65))+(E66*(2019-$B66)))/E67)</f>
        <v>5.609756097560975</v>
      </c>
      <c r="F71" s="83">
        <f>IF(F67=0,0,((F56*(2019-$B$10))+(F57*(2019-$B$11))+(F58*(2019-$B58))+(F59*(2019-$B59))+(F60*(2019-$B60))+(F61*(2019-$B61))+(F62*(2019-$B62))+(F63*(2019-$B63))+(F64*(2019-$B64))+(F65*(2019-$B65))+(F66*(2019-$B66)))/F67)</f>
        <v>6.9</v>
      </c>
      <c r="G71" s="83">
        <f>IF(G67=0,0,((G56*(2019-$B$10))+(G57*(2019-$B$11))+(G58*(2019-$B58))+(G59*(2019-$B59))+(G60*(2019-$B60))+(G61*(2019-$B61))+(G62*(2019-$B62))+(G63*(2019-$B63))+(G64*(2019-$B64))+(G65*(2019-$B65))+(G66*(2019-$B66)))/G67)</f>
        <v>6.580645161290323</v>
      </c>
    </row>
  </sheetData>
  <sheetProtection/>
  <mergeCells count="24">
    <mergeCell ref="C49:D49"/>
    <mergeCell ref="C50:D50"/>
    <mergeCell ref="J3:K3"/>
    <mergeCell ref="M3:N3"/>
    <mergeCell ref="N17:O25"/>
    <mergeCell ref="B3:C3"/>
    <mergeCell ref="M7:N7"/>
    <mergeCell ref="J13:K13"/>
    <mergeCell ref="B4:C4"/>
    <mergeCell ref="B5:C5"/>
    <mergeCell ref="P4:Q4"/>
    <mergeCell ref="P10:S11"/>
    <mergeCell ref="P13:Q13"/>
    <mergeCell ref="Q5:S9"/>
    <mergeCell ref="P14:Q14"/>
    <mergeCell ref="P15:Q15"/>
    <mergeCell ref="M11:N11"/>
    <mergeCell ref="M6:N6"/>
    <mergeCell ref="B6:C6"/>
    <mergeCell ref="J40:J45"/>
    <mergeCell ref="J9:K9"/>
    <mergeCell ref="J23:K23"/>
    <mergeCell ref="J16:K16"/>
    <mergeCell ref="B26:C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showGridLines="0" tabSelected="1" zoomScale="118" zoomScaleNormal="118" zoomScalePageLayoutView="0" workbookViewId="0" topLeftCell="A1">
      <selection activeCell="J72" sqref="J72"/>
    </sheetView>
  </sheetViews>
  <sheetFormatPr defaultColWidth="8.875" defaultRowHeight="12.75"/>
  <cols>
    <col min="1" max="1" width="5.625" style="5" customWidth="1"/>
    <col min="2" max="2" width="25.625" style="5" customWidth="1"/>
    <col min="3" max="10" width="8.625" style="5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390625" style="5" customWidth="1"/>
    <col min="16" max="16" width="14.00390625" style="216" customWidth="1"/>
    <col min="17" max="17" width="8.125" style="5" customWidth="1"/>
    <col min="18" max="18" width="19.75390625" style="5" customWidth="1"/>
    <col min="19" max="19" width="17.00390625" style="5" customWidth="1"/>
    <col min="20" max="20" width="18.75390625" style="5" customWidth="1"/>
    <col min="21" max="16384" width="8.875" style="5" customWidth="1"/>
  </cols>
  <sheetData>
    <row r="1" spans="2:13" ht="11.25">
      <c r="B1" s="4"/>
      <c r="E1" s="6"/>
      <c r="F1" s="6"/>
      <c r="G1" s="6"/>
      <c r="H1" s="6"/>
      <c r="K1" s="6"/>
      <c r="M1" s="6"/>
    </row>
    <row r="2" spans="2:16" ht="15" customHeight="1">
      <c r="B2" s="488" t="s">
        <v>256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89"/>
      <c r="O2" s="89"/>
      <c r="P2" s="90"/>
    </row>
    <row r="3" spans="2:16" ht="4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9"/>
      <c r="O3" s="89"/>
      <c r="P3" s="90"/>
    </row>
    <row r="4" spans="2:16" ht="13.5" customHeight="1">
      <c r="B4" s="144" t="s">
        <v>24</v>
      </c>
      <c r="C4" s="479" t="s">
        <v>32</v>
      </c>
      <c r="D4" s="480"/>
      <c r="E4" s="480"/>
      <c r="F4" s="480" t="s">
        <v>45</v>
      </c>
      <c r="G4" s="480" t="s">
        <v>45</v>
      </c>
      <c r="H4" s="480"/>
      <c r="I4" s="480" t="s">
        <v>26</v>
      </c>
      <c r="J4" s="480"/>
      <c r="K4" s="481"/>
      <c r="L4" s="489" t="s">
        <v>27</v>
      </c>
      <c r="M4" s="481"/>
      <c r="N4" s="89"/>
      <c r="O4" s="89"/>
      <c r="P4" s="90"/>
    </row>
    <row r="5" spans="2:16" ht="13.5" customHeight="1">
      <c r="B5" s="101" t="s">
        <v>70</v>
      </c>
      <c r="C5" s="484">
        <f>'FROTA E CUSTOS'!E22</f>
        <v>41</v>
      </c>
      <c r="D5" s="485"/>
      <c r="E5" s="485"/>
      <c r="F5" s="485">
        <f>'FROTA E CUSTOS'!D22</f>
        <v>156</v>
      </c>
      <c r="G5" s="485"/>
      <c r="H5" s="485"/>
      <c r="I5" s="485">
        <f>'FROTA E CUSTOS'!F22</f>
        <v>20</v>
      </c>
      <c r="J5" s="485"/>
      <c r="K5" s="497"/>
      <c r="L5" s="498">
        <f>SUM(C5:K5)</f>
        <v>217</v>
      </c>
      <c r="M5" s="497"/>
      <c r="N5" s="89"/>
      <c r="O5" s="89"/>
      <c r="P5" s="90"/>
    </row>
    <row r="6" spans="2:16" ht="13.5" customHeight="1">
      <c r="B6" s="101" t="s">
        <v>71</v>
      </c>
      <c r="C6" s="484">
        <f>'FROTA E CUSTOS'!E27</f>
        <v>33</v>
      </c>
      <c r="D6" s="485"/>
      <c r="E6" s="485"/>
      <c r="F6" s="485">
        <f>'FROTA E CUSTOS'!D27</f>
        <v>145</v>
      </c>
      <c r="G6" s="485"/>
      <c r="H6" s="485"/>
      <c r="I6" s="485">
        <f>'FROTA E CUSTOS'!F27</f>
        <v>17</v>
      </c>
      <c r="J6" s="485"/>
      <c r="K6" s="497"/>
      <c r="L6" s="498">
        <f>SUM(C6:K6)</f>
        <v>195</v>
      </c>
      <c r="M6" s="497"/>
      <c r="N6" s="89"/>
      <c r="O6" s="89"/>
      <c r="P6" s="90"/>
    </row>
    <row r="7" spans="2:16" ht="13.5" customHeight="1">
      <c r="B7" s="101" t="s">
        <v>168</v>
      </c>
      <c r="C7" s="361"/>
      <c r="D7" s="352">
        <v>5</v>
      </c>
      <c r="E7" s="362">
        <f>D7/C5</f>
        <v>0.12195121951219512</v>
      </c>
      <c r="F7" s="353"/>
      <c r="G7" s="352">
        <v>11</v>
      </c>
      <c r="H7" s="362">
        <f>G7/F5</f>
        <v>0.07051282051282051</v>
      </c>
      <c r="I7" s="353"/>
      <c r="J7" s="352">
        <v>0</v>
      </c>
      <c r="K7" s="353"/>
      <c r="L7" s="492">
        <v>16</v>
      </c>
      <c r="M7" s="493"/>
      <c r="N7" s="89"/>
      <c r="O7" s="89"/>
      <c r="P7" s="90"/>
    </row>
    <row r="8" spans="2:17" ht="13.5" customHeight="1">
      <c r="B8" s="101" t="s">
        <v>72</v>
      </c>
      <c r="C8" s="499">
        <f>'KM, PASSAGEIROS E PESSOAL'!I9</f>
        <v>213049.4505</v>
      </c>
      <c r="D8" s="487"/>
      <c r="E8" s="123">
        <f>C8/L8</f>
        <v>0.1686212527596218</v>
      </c>
      <c r="F8" s="486">
        <f>'KM, PASSAGEIROS E PESSOAL'!J9</f>
        <v>952980.1205000002</v>
      </c>
      <c r="G8" s="487"/>
      <c r="H8" s="123">
        <f>F8/L8</f>
        <v>0.7542507215888143</v>
      </c>
      <c r="I8" s="486">
        <f>'KM, PASSAGEIROS E PESSOAL'!K9</f>
        <v>97449.65841666667</v>
      </c>
      <c r="J8" s="487"/>
      <c r="K8" s="124">
        <f>I8/L8</f>
        <v>0.07712802565156374</v>
      </c>
      <c r="L8" s="490">
        <f>SUM(C8,F8,I8)</f>
        <v>1263479.229416667</v>
      </c>
      <c r="M8" s="491"/>
      <c r="N8" s="89"/>
      <c r="O8" s="296">
        <v>1392824</v>
      </c>
      <c r="P8" s="90"/>
      <c r="Q8" s="5">
        <f>O8-L8</f>
        <v>129344.77058333298</v>
      </c>
    </row>
    <row r="9" spans="2:17" ht="13.5" customHeight="1">
      <c r="B9" s="101" t="s">
        <v>123</v>
      </c>
      <c r="C9" s="499">
        <f>E9*C8</f>
        <v>124278.84612500001</v>
      </c>
      <c r="D9" s="487"/>
      <c r="E9" s="123">
        <f>'FROTA E CUSTOS'!S15</f>
        <v>0.5833333333333334</v>
      </c>
      <c r="F9" s="499">
        <f>H9*F8</f>
        <v>308897.00457586214</v>
      </c>
      <c r="G9" s="487"/>
      <c r="H9" s="123">
        <f>'FROTA E CUSTOS'!S14</f>
        <v>0.32413793103448274</v>
      </c>
      <c r="I9" s="499">
        <f>K9*I8</f>
        <v>48724.829208333336</v>
      </c>
      <c r="J9" s="487"/>
      <c r="K9" s="124">
        <f>'FROTA E CUSTOS'!S13</f>
        <v>0.5</v>
      </c>
      <c r="L9" s="520">
        <f>(I9+F9+C9)/L8</f>
        <v>0.3814076786459586</v>
      </c>
      <c r="M9" s="521"/>
      <c r="N9" s="89"/>
      <c r="O9" s="89"/>
      <c r="P9" s="90"/>
      <c r="Q9" s="298">
        <f>Q8/L8</f>
        <v>0.1023719009951987</v>
      </c>
    </row>
    <row r="10" spans="2:16" ht="13.5" customHeight="1">
      <c r="B10" s="101" t="s">
        <v>124</v>
      </c>
      <c r="C10" s="499">
        <f>E10*C8</f>
        <v>88770.60437500001</v>
      </c>
      <c r="D10" s="487"/>
      <c r="E10" s="123">
        <f>'FROTA E CUSTOS'!R15</f>
        <v>0.4166666666666667</v>
      </c>
      <c r="F10" s="499">
        <f>H10*F8</f>
        <v>644083.1159241381</v>
      </c>
      <c r="G10" s="487"/>
      <c r="H10" s="123">
        <f>'FROTA E CUSTOS'!R14</f>
        <v>0.6758620689655173</v>
      </c>
      <c r="I10" s="499">
        <f>K10*I8</f>
        <v>48724.829208333336</v>
      </c>
      <c r="J10" s="487"/>
      <c r="K10" s="124">
        <f>'FROTA E CUSTOS'!R13</f>
        <v>0.5</v>
      </c>
      <c r="L10" s="520">
        <f>(I10+F10+C10)/L8</f>
        <v>0.6185923213540413</v>
      </c>
      <c r="M10" s="521"/>
      <c r="N10" s="89"/>
      <c r="O10" s="297"/>
      <c r="P10" s="90"/>
    </row>
    <row r="11" spans="2:16" ht="13.5" customHeight="1">
      <c r="B11" s="101" t="s">
        <v>73</v>
      </c>
      <c r="C11" s="496">
        <f>C8/C6</f>
        <v>6456.043954545455</v>
      </c>
      <c r="D11" s="482"/>
      <c r="E11" s="482"/>
      <c r="F11" s="482">
        <f>F8/F6</f>
        <v>6572.276693103449</v>
      </c>
      <c r="G11" s="482"/>
      <c r="H11" s="482"/>
      <c r="I11" s="482">
        <f>I8/I6</f>
        <v>5732.332848039216</v>
      </c>
      <c r="J11" s="482"/>
      <c r="K11" s="483"/>
      <c r="L11" s="500">
        <f>L8/L6</f>
        <v>6479.380663675215</v>
      </c>
      <c r="M11" s="501"/>
      <c r="N11" s="89"/>
      <c r="O11" s="91"/>
      <c r="P11" s="226"/>
    </row>
    <row r="12" spans="2:16" ht="13.5" customHeight="1">
      <c r="B12" s="101" t="s">
        <v>74</v>
      </c>
      <c r="C12" s="496">
        <f>C8/C5</f>
        <v>5196.32806097561</v>
      </c>
      <c r="D12" s="482"/>
      <c r="E12" s="482"/>
      <c r="F12" s="482">
        <f>F8/F5</f>
        <v>6108.846926282053</v>
      </c>
      <c r="G12" s="482"/>
      <c r="H12" s="482"/>
      <c r="I12" s="482">
        <f>I8/I5</f>
        <v>4872.482920833334</v>
      </c>
      <c r="J12" s="482"/>
      <c r="K12" s="483"/>
      <c r="L12" s="500">
        <f>L8/L5</f>
        <v>5822.484928187406</v>
      </c>
      <c r="M12" s="501"/>
      <c r="N12" s="89"/>
      <c r="O12" s="89"/>
      <c r="P12" s="90"/>
    </row>
    <row r="13" spans="2:16" ht="13.5" customHeight="1">
      <c r="B13" s="358" t="s">
        <v>169</v>
      </c>
      <c r="C13" s="476">
        <f>C8/36</f>
        <v>5918.040291666667</v>
      </c>
      <c r="D13" s="476"/>
      <c r="E13" s="476"/>
      <c r="F13" s="476">
        <f>F8/145</f>
        <v>6572.276693103449</v>
      </c>
      <c r="G13" s="476"/>
      <c r="H13" s="476"/>
      <c r="I13" s="476"/>
      <c r="J13" s="476"/>
      <c r="K13" s="477"/>
      <c r="L13" s="359"/>
      <c r="M13" s="360"/>
      <c r="N13" s="89"/>
      <c r="O13" s="89"/>
      <c r="P13" s="90"/>
    </row>
    <row r="14" spans="2:16" ht="13.5" customHeight="1">
      <c r="B14" s="494" t="s">
        <v>75</v>
      </c>
      <c r="C14" s="494"/>
      <c r="D14" s="494"/>
      <c r="E14" s="494"/>
      <c r="F14" s="494"/>
      <c r="G14" s="494"/>
      <c r="H14" s="494"/>
      <c r="I14" s="494"/>
      <c r="J14" s="494"/>
      <c r="K14" s="495"/>
      <c r="L14" s="517">
        <f>'KM, PASSAGEIROS E PESSOAL'!C26</f>
        <v>1939876.5833333333</v>
      </c>
      <c r="M14" s="518"/>
      <c r="N14" s="247"/>
      <c r="O14" s="89"/>
      <c r="P14" s="90"/>
    </row>
    <row r="15" spans="2:16" ht="9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2"/>
      <c r="M15" s="92"/>
      <c r="N15" s="89"/>
      <c r="O15" s="89"/>
      <c r="P15" s="90"/>
    </row>
    <row r="16" spans="2:20" ht="13.5" customHeight="1">
      <c r="B16" s="507" t="s">
        <v>28</v>
      </c>
      <c r="C16" s="509" t="s">
        <v>32</v>
      </c>
      <c r="D16" s="514"/>
      <c r="E16" s="510"/>
      <c r="F16" s="509" t="s">
        <v>45</v>
      </c>
      <c r="G16" s="514" t="s">
        <v>45</v>
      </c>
      <c r="H16" s="515"/>
      <c r="I16" s="519" t="s">
        <v>26</v>
      </c>
      <c r="J16" s="514"/>
      <c r="K16" s="510"/>
      <c r="L16" s="509" t="s">
        <v>76</v>
      </c>
      <c r="M16" s="510"/>
      <c r="N16" s="89"/>
      <c r="O16" s="89"/>
      <c r="P16" s="90"/>
      <c r="T16" s="5">
        <v>12</v>
      </c>
    </row>
    <row r="17" spans="2:16" ht="13.5" customHeight="1">
      <c r="B17" s="508"/>
      <c r="C17" s="145" t="s">
        <v>77</v>
      </c>
      <c r="D17" s="146" t="s">
        <v>78</v>
      </c>
      <c r="E17" s="147" t="s">
        <v>79</v>
      </c>
      <c r="F17" s="145" t="s">
        <v>77</v>
      </c>
      <c r="G17" s="146" t="s">
        <v>78</v>
      </c>
      <c r="H17" s="148" t="s">
        <v>79</v>
      </c>
      <c r="I17" s="149" t="s">
        <v>77</v>
      </c>
      <c r="J17" s="146" t="s">
        <v>78</v>
      </c>
      <c r="K17" s="146" t="s">
        <v>79</v>
      </c>
      <c r="L17" s="145" t="s">
        <v>80</v>
      </c>
      <c r="M17" s="147" t="s">
        <v>2</v>
      </c>
      <c r="N17" s="89"/>
      <c r="O17" s="89"/>
      <c r="P17" s="90"/>
    </row>
    <row r="18" spans="2:16" ht="9.75" customHeight="1">
      <c r="B18" s="9"/>
      <c r="C18" s="92"/>
      <c r="D18" s="92"/>
      <c r="E18" s="92"/>
      <c r="F18" s="92"/>
      <c r="G18" s="92"/>
      <c r="H18" s="92"/>
      <c r="I18" s="92"/>
      <c r="J18" s="92"/>
      <c r="K18" s="92"/>
      <c r="L18" s="9"/>
      <c r="M18" s="9"/>
      <c r="N18" s="89"/>
      <c r="P18" s="5"/>
    </row>
    <row r="19" spans="2:14" ht="15" customHeight="1">
      <c r="B19" s="150" t="s">
        <v>83</v>
      </c>
      <c r="C19" s="151"/>
      <c r="D19" s="152"/>
      <c r="E19" s="153">
        <f>SUM(E20:E27)</f>
        <v>0.9913113743214286</v>
      </c>
      <c r="F19" s="154"/>
      <c r="G19" s="155"/>
      <c r="H19" s="156">
        <f>SUM(H20:H27)</f>
        <v>1.1954347610541873</v>
      </c>
      <c r="I19" s="157"/>
      <c r="J19" s="155"/>
      <c r="K19" s="153">
        <f>SUM(K20:K27)</f>
        <v>2.1863360528095237</v>
      </c>
      <c r="L19" s="158">
        <f aca="true" t="shared" si="0" ref="L19:L27">($E19*$E$8)+($H19*$H$8)+($K19*$K$8)</f>
        <v>1.2374414801144458</v>
      </c>
      <c r="M19" s="196">
        <f aca="true" t="shared" si="1" ref="M19:M27">L19/$L$54</f>
        <v>0.1992174235081248</v>
      </c>
      <c r="N19" s="89"/>
    </row>
    <row r="20" spans="2:16" ht="15" customHeight="1">
      <c r="B20" s="102" t="s">
        <v>131</v>
      </c>
      <c r="C20" s="120">
        <v>0.3368</v>
      </c>
      <c r="D20" s="116">
        <f>'FROTA E CUSTOS'!N4</f>
        <v>2.5288</v>
      </c>
      <c r="E20" s="95">
        <f>E9*(C20*D20)</f>
        <v>0.4968249066666667</v>
      </c>
      <c r="F20" s="121">
        <v>0.3982</v>
      </c>
      <c r="G20" s="116">
        <f>'FROTA E CUSTOS'!N4</f>
        <v>2.5288</v>
      </c>
      <c r="H20" s="95">
        <f>H9*(F20*G20)</f>
        <v>0.326396576</v>
      </c>
      <c r="I20" s="122">
        <v>0.7938</v>
      </c>
      <c r="J20" s="116">
        <f>'FROTA E CUSTOS'!N4</f>
        <v>2.5288</v>
      </c>
      <c r="K20" s="95">
        <f>K9*(I20*J20)</f>
        <v>1.00368072</v>
      </c>
      <c r="L20" s="114">
        <f t="shared" si="0"/>
        <v>0.4073720034545738</v>
      </c>
      <c r="M20" s="197">
        <f t="shared" si="1"/>
        <v>0.06558338494524797</v>
      </c>
      <c r="N20" s="89"/>
      <c r="P20" s="5"/>
    </row>
    <row r="21" spans="2:16" ht="15" customHeight="1">
      <c r="B21" s="102" t="s">
        <v>132</v>
      </c>
      <c r="C21" s="120">
        <v>0.3065</v>
      </c>
      <c r="D21" s="116">
        <f>'FROTA E CUSTOS'!N8</f>
        <v>2.5514</v>
      </c>
      <c r="E21" s="95">
        <f>E10*(C21*D21)</f>
        <v>0.32583504166666666</v>
      </c>
      <c r="F21" s="121">
        <v>0.3969</v>
      </c>
      <c r="G21" s="116">
        <f>'FROTA E CUSTOS'!N8</f>
        <v>2.5514</v>
      </c>
      <c r="H21" s="95">
        <f>H10*(F21*G21)</f>
        <v>0.6844121702068966</v>
      </c>
      <c r="I21" s="122">
        <v>0.6718</v>
      </c>
      <c r="J21" s="116">
        <f>'FROTA E CUSTOS'!N8</f>
        <v>2.5514</v>
      </c>
      <c r="K21" s="95">
        <f>K10*(I21*J21)</f>
        <v>0.85701526</v>
      </c>
      <c r="L21" s="114">
        <f t="shared" si="0"/>
        <v>0.6372609811185966</v>
      </c>
      <c r="M21" s="197">
        <f t="shared" si="1"/>
        <v>0.10259353092718793</v>
      </c>
      <c r="N21" s="294" t="s">
        <v>117</v>
      </c>
      <c r="P21" s="5"/>
    </row>
    <row r="22" spans="2:16" ht="15" customHeight="1">
      <c r="B22" s="102" t="s">
        <v>133</v>
      </c>
      <c r="C22" s="120">
        <v>0.0168</v>
      </c>
      <c r="D22" s="116">
        <f>'FROTA E CUSTOS'!N12</f>
        <v>0.98</v>
      </c>
      <c r="E22" s="95">
        <f>E10*(C22*D22)</f>
        <v>0.00686</v>
      </c>
      <c r="F22" s="121">
        <v>0.0198</v>
      </c>
      <c r="G22" s="116">
        <f>'FROTA E CUSTOS'!N12</f>
        <v>0.98</v>
      </c>
      <c r="H22" s="95">
        <f>H10*(F22*G22)</f>
        <v>0.013114427586206897</v>
      </c>
      <c r="I22" s="122">
        <v>0.0335</v>
      </c>
      <c r="J22" s="116">
        <f>'FROTA E CUSTOS'!N12</f>
        <v>0.98</v>
      </c>
      <c r="K22" s="95">
        <f>K10*(I22*J22)</f>
        <v>0.016415</v>
      </c>
      <c r="L22" s="114">
        <f t="shared" si="0"/>
        <v>0.012314364805122229</v>
      </c>
      <c r="M22" s="197">
        <f t="shared" si="1"/>
        <v>0.001982506702772476</v>
      </c>
      <c r="N22" s="89"/>
      <c r="P22" s="5"/>
    </row>
    <row r="23" spans="2:16" ht="15" customHeight="1">
      <c r="B23" s="103" t="s">
        <v>0</v>
      </c>
      <c r="C23" s="125">
        <v>0.05</v>
      </c>
      <c r="D23" s="265">
        <f>E20+E21+E22</f>
        <v>0.8295199483333333</v>
      </c>
      <c r="E23" s="96">
        <f>C23*D23</f>
        <v>0.04147599741666667</v>
      </c>
      <c r="F23" s="125">
        <v>0.05</v>
      </c>
      <c r="G23" s="265">
        <f>H20+H21+H22</f>
        <v>1.0239231737931036</v>
      </c>
      <c r="H23" s="97">
        <f>0.05*G23</f>
        <v>0.051196158689655186</v>
      </c>
      <c r="I23" s="125">
        <v>0.05</v>
      </c>
      <c r="J23" s="265">
        <f>K20+K21+K22</f>
        <v>1.87711098</v>
      </c>
      <c r="K23" s="96">
        <f>0.05*J23</f>
        <v>0.09385554900000001</v>
      </c>
      <c r="L23" s="94">
        <f t="shared" si="0"/>
        <v>0.05284736746891464</v>
      </c>
      <c r="M23" s="198">
        <f t="shared" si="1"/>
        <v>0.00850797112876042</v>
      </c>
      <c r="N23" s="89"/>
      <c r="P23" s="5"/>
    </row>
    <row r="24" spans="2:16" ht="15" customHeight="1">
      <c r="B24" s="104" t="s">
        <v>62</v>
      </c>
      <c r="C24" s="126">
        <f>6*1/105000</f>
        <v>5.714285714285714E-05</v>
      </c>
      <c r="D24" s="131">
        <f>'FROTA E CUSTOS'!K17</f>
        <v>1043.02</v>
      </c>
      <c r="E24" s="96">
        <f>C24*D24</f>
        <v>0.05960114285714285</v>
      </c>
      <c r="F24" s="126">
        <f>6*1/105000</f>
        <v>5.714285714285714E-05</v>
      </c>
      <c r="G24" s="131">
        <f>'FROTA E CUSTOS'!K17</f>
        <v>1043.02</v>
      </c>
      <c r="H24" s="97">
        <f>F24*G24</f>
        <v>0.05960114285714285</v>
      </c>
      <c r="I24" s="125"/>
      <c r="J24" s="118"/>
      <c r="K24" s="96"/>
      <c r="L24" s="94">
        <f>($E24*$E$8)+($H24*$H$8)+($K24*$K$8)</f>
        <v>0.05500422438199462</v>
      </c>
      <c r="M24" s="198">
        <f t="shared" si="1"/>
        <v>0.008855206520497686</v>
      </c>
      <c r="N24" s="89"/>
      <c r="P24" s="5"/>
    </row>
    <row r="25" spans="2:16" ht="15" customHeight="1">
      <c r="B25" s="104" t="s">
        <v>63</v>
      </c>
      <c r="C25" s="125"/>
      <c r="D25" s="143"/>
      <c r="E25" s="96"/>
      <c r="F25" s="128"/>
      <c r="G25" s="37"/>
      <c r="H25" s="97"/>
      <c r="I25" s="126">
        <f>10*1/105000</f>
        <v>9.523809523809524E-05</v>
      </c>
      <c r="J25" s="118">
        <f>'FROTA E CUSTOS'!K18</f>
        <v>1153.88</v>
      </c>
      <c r="K25" s="96">
        <f>I25*J25</f>
        <v>0.10989333333333334</v>
      </c>
      <c r="L25" s="94">
        <f>($E25*$E$8)+($H25*$H$8)+($K25*$K$8)</f>
        <v>0.008475855832269178</v>
      </c>
      <c r="M25" s="198">
        <f t="shared" si="1"/>
        <v>0.0013645398090056046</v>
      </c>
      <c r="N25" s="89"/>
      <c r="P25" s="5"/>
    </row>
    <row r="26" spans="2:16" ht="15" customHeight="1">
      <c r="B26" s="104" t="s">
        <v>64</v>
      </c>
      <c r="C26" s="126">
        <f>2.5*6/105000</f>
        <v>0.00014285714285714287</v>
      </c>
      <c r="D26" s="131">
        <f>'FROTA E CUSTOS'!K19</f>
        <v>425</v>
      </c>
      <c r="E26" s="96">
        <f>C26*D26</f>
        <v>0.06071428571428572</v>
      </c>
      <c r="F26" s="126">
        <f>2.5*6/105000</f>
        <v>0.00014285714285714287</v>
      </c>
      <c r="G26" s="131">
        <f>'FROTA E CUSTOS'!K19</f>
        <v>425</v>
      </c>
      <c r="H26" s="97">
        <f>F26*G26</f>
        <v>0.06071428571428572</v>
      </c>
      <c r="I26" s="125"/>
      <c r="J26" s="118"/>
      <c r="K26" s="96"/>
      <c r="L26" s="94">
        <f t="shared" si="0"/>
        <v>0.056031512728297914</v>
      </c>
      <c r="M26" s="198">
        <f t="shared" si="1"/>
        <v>0.009020591098951881</v>
      </c>
      <c r="N26" s="89"/>
      <c r="P26" s="5"/>
    </row>
    <row r="27" spans="2:16" ht="15" customHeight="1">
      <c r="B27" s="115" t="s">
        <v>65</v>
      </c>
      <c r="C27" s="127"/>
      <c r="D27" s="117"/>
      <c r="E27" s="107"/>
      <c r="F27" s="129"/>
      <c r="G27" s="119"/>
      <c r="H27" s="108"/>
      <c r="I27" s="130">
        <f>2.5*10/105000</f>
        <v>0.0002380952380952381</v>
      </c>
      <c r="J27" s="119">
        <f>'FROTA E CUSTOS'!K20</f>
        <v>443</v>
      </c>
      <c r="K27" s="110">
        <f>I27*J27</f>
        <v>0.10547619047619047</v>
      </c>
      <c r="L27" s="160">
        <f t="shared" si="0"/>
        <v>0.008135170324676842</v>
      </c>
      <c r="M27" s="199">
        <f t="shared" si="1"/>
        <v>0.0013096923757008588</v>
      </c>
      <c r="N27" s="89"/>
      <c r="P27" s="5"/>
    </row>
    <row r="28" spans="2:16" ht="9.75" customHeight="1">
      <c r="B28" s="9"/>
      <c r="C28" s="92"/>
      <c r="D28" s="92"/>
      <c r="E28" s="92"/>
      <c r="F28" s="92"/>
      <c r="G28" s="92"/>
      <c r="H28" s="92"/>
      <c r="I28" s="92"/>
      <c r="J28" s="92"/>
      <c r="K28" s="92"/>
      <c r="L28" s="9"/>
      <c r="M28" s="200"/>
      <c r="N28" s="89"/>
      <c r="P28" s="5"/>
    </row>
    <row r="29" spans="2:13" s="163" customFormat="1" ht="15" customHeight="1">
      <c r="B29" s="168" t="s">
        <v>84</v>
      </c>
      <c r="C29" s="164"/>
      <c r="D29" s="165"/>
      <c r="E29" s="166">
        <f>SUM(E30:E42)</f>
        <v>3.0059528860854665</v>
      </c>
      <c r="F29" s="169"/>
      <c r="G29" s="170"/>
      <c r="H29" s="167">
        <f>SUM(H30:H42)</f>
        <v>4.3010520382113535</v>
      </c>
      <c r="I29" s="171"/>
      <c r="J29" s="170"/>
      <c r="K29" s="166">
        <f>SUM(K30:K42)</f>
        <v>5.329783066313972</v>
      </c>
      <c r="L29" s="172">
        <f aca="true" t="shared" si="2" ref="L29:L42">($E29*$E$8)+($H29*$H$8)+($K29*$K$8)</f>
        <v>4.162014789856021</v>
      </c>
      <c r="M29" s="201">
        <f aca="true" t="shared" si="3" ref="M29:M42">L29/$L$54</f>
        <v>0.670048544809684</v>
      </c>
    </row>
    <row r="30" spans="2:14" ht="15" customHeight="1">
      <c r="B30" s="102" t="s">
        <v>3</v>
      </c>
      <c r="C30" s="264">
        <v>0.0064</v>
      </c>
      <c r="D30" s="135">
        <f>'FROTA E CUSTOS'!H4</f>
        <v>322741.88</v>
      </c>
      <c r="E30" s="137">
        <f>(C30*D30)/C11</f>
        <v>0.31994020588192035</v>
      </c>
      <c r="F30" s="264">
        <v>0.0064</v>
      </c>
      <c r="G30" s="133">
        <f>'FROTA E CUSTOS'!H5</f>
        <v>349941.88</v>
      </c>
      <c r="H30" s="137">
        <f>(F30*G30)/F11</f>
        <v>0.3407689810671134</v>
      </c>
      <c r="I30" s="264">
        <v>0.0064</v>
      </c>
      <c r="J30" s="133">
        <f>'FROTA E CUSTOS'!H6</f>
        <v>789461.2</v>
      </c>
      <c r="K30" s="137">
        <f>(I30*J30)/I11</f>
        <v>0.881412823354851</v>
      </c>
      <c r="L30" s="114">
        <f>($E30*$E$8)+($H30*$H$8)+($K30*$K$8)</f>
        <v>0.3789555990382662</v>
      </c>
      <c r="M30" s="197">
        <f t="shared" si="3"/>
        <v>0.06100858850908993</v>
      </c>
      <c r="N30" s="89"/>
    </row>
    <row r="31" spans="2:14" ht="15" customHeight="1">
      <c r="B31" s="104" t="s">
        <v>4</v>
      </c>
      <c r="C31" s="132">
        <f>'KM, PASSAGEIROS E PESSOAL'!O20</f>
        <v>3.114890501012146</v>
      </c>
      <c r="D31" s="37">
        <f>'FROTA E CUSTOS'!K5</f>
        <v>1514.39</v>
      </c>
      <c r="E31" s="138">
        <f>(C31*D31*1.423893)/C$11</f>
        <v>1.0403785606251965</v>
      </c>
      <c r="F31" s="132">
        <f>C31</f>
        <v>3.114890501012146</v>
      </c>
      <c r="G31" s="118">
        <f>'FROTA E CUSTOS'!K4</f>
        <v>1915.36</v>
      </c>
      <c r="H31" s="138">
        <f>(F31*G31*1.423893)/F$11</f>
        <v>1.2925719104914002</v>
      </c>
      <c r="I31" s="132">
        <f>F31</f>
        <v>3.114890501012146</v>
      </c>
      <c r="J31" s="118">
        <f>'FROTA E CUSTOS'!K4</f>
        <v>1915.36</v>
      </c>
      <c r="K31" s="138">
        <f>(I31*J31*1.423893)/I$11</f>
        <v>1.481969115660939</v>
      </c>
      <c r="L31" s="94">
        <f>($E31*$E$8)+($H31*$H$8)+($K31*$K$8)</f>
        <v>1.264654584397966</v>
      </c>
      <c r="M31" s="198">
        <f t="shared" si="3"/>
        <v>0.2035984989837258</v>
      </c>
      <c r="N31" s="89"/>
    </row>
    <row r="32" spans="2:14" ht="15" customHeight="1">
      <c r="B32" s="104" t="s">
        <v>5</v>
      </c>
      <c r="C32" s="132">
        <v>0</v>
      </c>
      <c r="D32" s="37">
        <v>0</v>
      </c>
      <c r="E32" s="138">
        <f>(C32*D32*1.423893)/C$11</f>
        <v>0</v>
      </c>
      <c r="F32" s="128">
        <f>'KM, PASSAGEIROS E PESSOAL'!R20</f>
        <v>3.2903041595175435</v>
      </c>
      <c r="G32" s="118">
        <f>'FROTA E CUSTOS'!K6</f>
        <v>1147.36</v>
      </c>
      <c r="H32" s="138">
        <f>(F32*G32*1.423893)/F$11</f>
        <v>0.8178944621944699</v>
      </c>
      <c r="I32" s="128">
        <f>F32</f>
        <v>3.2903041595175435</v>
      </c>
      <c r="J32" s="118">
        <f>'FROTA E CUSTOS'!K6</f>
        <v>1147.36</v>
      </c>
      <c r="K32" s="305">
        <f>(I32*J32*1.423893)/I$11</f>
        <v>0.9377384136264519</v>
      </c>
      <c r="L32" s="94">
        <f>($E32*$E$8)+($H32*$H$8)+($K32*$K$8)</f>
        <v>0.6892234007143119</v>
      </c>
      <c r="M32" s="198">
        <f t="shared" si="3"/>
        <v>0.11095903306806419</v>
      </c>
      <c r="N32" s="89"/>
    </row>
    <row r="33" spans="2:14" ht="15" customHeight="1">
      <c r="B33" s="104" t="s">
        <v>66</v>
      </c>
      <c r="C33" s="132">
        <f>1/5</f>
        <v>0.2</v>
      </c>
      <c r="D33" s="118">
        <f>G33</f>
        <v>1915.36</v>
      </c>
      <c r="E33" s="138">
        <f>(C33*D33*1.423893)/C$11</f>
        <v>0.08448727163822467</v>
      </c>
      <c r="F33" s="132">
        <f>1/5</f>
        <v>0.2</v>
      </c>
      <c r="G33" s="118">
        <f>'FROTA E CUSTOS'!K4</f>
        <v>1915.36</v>
      </c>
      <c r="H33" s="138">
        <f>(F33*G33*1.423893)/F$11</f>
        <v>0.08299308820463479</v>
      </c>
      <c r="I33" s="132">
        <f>1/5</f>
        <v>0.2</v>
      </c>
      <c r="J33" s="118">
        <f>'FROTA E CUSTOS'!K4</f>
        <v>1915.36</v>
      </c>
      <c r="K33" s="138">
        <f>(I33*J33*1.423893)/I$11</f>
        <v>0.09515384988200332</v>
      </c>
      <c r="L33" s="94">
        <f>($E33*$E$8)+($H33*$H$8)+($K33*$K$8)</f>
        <v>0.08418297482565401</v>
      </c>
      <c r="M33" s="198">
        <f t="shared" si="3"/>
        <v>0.013552734103001842</v>
      </c>
      <c r="N33" s="89"/>
    </row>
    <row r="34" spans="2:14" ht="15" customHeight="1">
      <c r="B34" s="103" t="s">
        <v>6</v>
      </c>
      <c r="C34" s="132">
        <v>0.135</v>
      </c>
      <c r="D34" s="136">
        <f>SUM(E31:E33)</f>
        <v>1.124865832263421</v>
      </c>
      <c r="E34" s="138">
        <f>C34*D34</f>
        <v>0.15185688735556185</v>
      </c>
      <c r="F34" s="132">
        <v>0.135</v>
      </c>
      <c r="G34" s="136">
        <f>SUM(H31:H33)</f>
        <v>2.193459460890505</v>
      </c>
      <c r="H34" s="141">
        <f>F34*G34</f>
        <v>0.2961170272202182</v>
      </c>
      <c r="I34" s="132">
        <v>0.135</v>
      </c>
      <c r="J34" s="136">
        <f>SUM(K31:K33)</f>
        <v>2.514861379169394</v>
      </c>
      <c r="K34" s="138">
        <f>I34*J34</f>
        <v>0.3395062861878682</v>
      </c>
      <c r="L34" s="94">
        <f t="shared" si="2"/>
        <v>0.2751382295916208</v>
      </c>
      <c r="M34" s="198">
        <f t="shared" si="3"/>
        <v>0.0442948859308969</v>
      </c>
      <c r="N34" s="89"/>
    </row>
    <row r="35" spans="2:14" ht="15" customHeight="1">
      <c r="B35" s="103" t="s">
        <v>49</v>
      </c>
      <c r="C35" s="132">
        <f>C8/$L$8/C6</f>
        <v>0.005109734932109752</v>
      </c>
      <c r="D35" s="37">
        <f>'FROTA E CUSTOS'!K11*GETPIVOTDATA("Nome",'KM, PASSAGEIROS E PESSOAL'!$U$16)</f>
        <v>790800</v>
      </c>
      <c r="E35" s="139">
        <f>(C35*D35)/C11</f>
        <v>0.6258907796728108</v>
      </c>
      <c r="F35" s="132">
        <f>F8/$L$8/F6</f>
        <v>0.0052017291144056165</v>
      </c>
      <c r="G35" s="37">
        <f>D35</f>
        <v>790800</v>
      </c>
      <c r="H35" s="142">
        <f>(F35*G35)/F11</f>
        <v>0.6258907796728109</v>
      </c>
      <c r="I35" s="132">
        <f>I8/$L$8/I6</f>
        <v>0.0045369426853861024</v>
      </c>
      <c r="J35" s="37">
        <f>G35</f>
        <v>790800</v>
      </c>
      <c r="K35" s="139">
        <f>(I35*J35)/I11</f>
        <v>0.625890779672811</v>
      </c>
      <c r="L35" s="94">
        <f t="shared" si="2"/>
        <v>0.6258907796728108</v>
      </c>
      <c r="M35" s="198">
        <f t="shared" si="3"/>
        <v>0.10076302639570227</v>
      </c>
      <c r="N35" s="106"/>
    </row>
    <row r="36" spans="2:14" ht="15" customHeight="1">
      <c r="B36" s="103" t="s">
        <v>7</v>
      </c>
      <c r="C36" s="132">
        <f>C32+C33+C34+((C32+C33+C34)*C35)</f>
        <v>0.33671176120225677</v>
      </c>
      <c r="D36" s="136"/>
      <c r="E36" s="140">
        <f>(((D31)*0.1/12)*(C31+C32+C33)*C6)/C8</f>
        <v>0.006479764105763984</v>
      </c>
      <c r="F36" s="128"/>
      <c r="G36" s="134"/>
      <c r="H36" s="140">
        <f>(((G31)*0.1/12)*(F31+F32+F33)*F6)/F8</f>
        <v>0.01604127741896463</v>
      </c>
      <c r="I36" s="125"/>
      <c r="J36" s="134"/>
      <c r="K36" s="140">
        <f>(((J31)*0.1/12)*(I31+I32+I33)*I6)/I8</f>
        <v>0.018391764139154998</v>
      </c>
      <c r="L36" s="94">
        <f t="shared" si="2"/>
        <v>0.014610291465863436</v>
      </c>
      <c r="M36" s="198">
        <f t="shared" si="3"/>
        <v>0.0023521311264455644</v>
      </c>
      <c r="N36" s="89"/>
    </row>
    <row r="37" spans="2:14" ht="15" customHeight="1">
      <c r="B37" s="103" t="s">
        <v>8</v>
      </c>
      <c r="C37" s="132">
        <f>C8/$L$8/C6</f>
        <v>0.005109734932109752</v>
      </c>
      <c r="D37" s="37">
        <f>'FROTA E CUSTOS'!K35</f>
        <v>219808</v>
      </c>
      <c r="E37" s="138">
        <f>D37*C37/C11</f>
        <v>0.17397041034183258</v>
      </c>
      <c r="F37" s="132">
        <f>F8/$L$8/F6</f>
        <v>0.0052017291144056165</v>
      </c>
      <c r="G37" s="37">
        <f>D37</f>
        <v>219808</v>
      </c>
      <c r="H37" s="141">
        <f>G37*F37/F11</f>
        <v>0.1739704103418326</v>
      </c>
      <c r="I37" s="132">
        <f>I8/$L$8/I6</f>
        <v>0.0045369426853861024</v>
      </c>
      <c r="J37" s="37">
        <f>G37</f>
        <v>219808</v>
      </c>
      <c r="K37" s="138">
        <f>J37*I37/I11</f>
        <v>0.17397041034183264</v>
      </c>
      <c r="L37" s="94">
        <f t="shared" si="2"/>
        <v>0.17397041034183258</v>
      </c>
      <c r="M37" s="198">
        <f t="shared" si="3"/>
        <v>0.028007738120873198</v>
      </c>
      <c r="N37" s="89"/>
    </row>
    <row r="38" spans="2:14" ht="15" customHeight="1">
      <c r="B38" s="103" t="s">
        <v>81</v>
      </c>
      <c r="C38" s="125"/>
      <c r="D38" s="37">
        <f>'FROTA E CUSTOS'!K27</f>
        <v>2402.4199999999996</v>
      </c>
      <c r="E38" s="138">
        <f>D38/12/C12</f>
        <v>0.038527526422009385</v>
      </c>
      <c r="F38" s="128"/>
      <c r="G38" s="37">
        <f>D38</f>
        <v>2402.4199999999996</v>
      </c>
      <c r="H38" s="141">
        <f>G38/12/F12</f>
        <v>0.03277241500443239</v>
      </c>
      <c r="I38" s="125"/>
      <c r="J38" s="37">
        <f>G38</f>
        <v>2402.4199999999996</v>
      </c>
      <c r="K38" s="138">
        <f>J38/12/I12</f>
        <v>0.04108822338004756</v>
      </c>
      <c r="L38" s="94">
        <f t="shared" si="2"/>
        <v>0.03438423098314336</v>
      </c>
      <c r="M38" s="198">
        <f t="shared" si="3"/>
        <v>0.005535565128410384</v>
      </c>
      <c r="N38" s="89"/>
    </row>
    <row r="39" spans="2:14" ht="15" customHeight="1">
      <c r="B39" s="103" t="s">
        <v>82</v>
      </c>
      <c r="C39" s="125">
        <f>C8/$L$8/C6</f>
        <v>0.005109734932109752</v>
      </c>
      <c r="D39" s="37">
        <f>GETPIVOTDATA("Nome",'KM, PASSAGEIROS E PESSOAL'!$U$16)*'FROTA E CUSTOS'!K14</f>
        <v>102145</v>
      </c>
      <c r="E39" s="138">
        <f>(C39*D39)/C11</f>
        <v>0.08084422570773807</v>
      </c>
      <c r="F39" s="125">
        <f>F8/$L$8/F6</f>
        <v>0.0052017291144056165</v>
      </c>
      <c r="G39" s="118">
        <f>D39</f>
        <v>102145</v>
      </c>
      <c r="H39" s="141">
        <f>(F39*G39)/F11</f>
        <v>0.08084422570773808</v>
      </c>
      <c r="I39" s="125">
        <f>I8/$L$8/I6</f>
        <v>0.0045369426853861024</v>
      </c>
      <c r="J39" s="118">
        <f>D39</f>
        <v>102145</v>
      </c>
      <c r="K39" s="159">
        <f>(I39*J39)/I11</f>
        <v>0.08084422570773808</v>
      </c>
      <c r="L39" s="94">
        <f>($E39*$E$8)+($H39*$H$8)+($K39*$K$8)</f>
        <v>0.08084422570773807</v>
      </c>
      <c r="M39" s="198">
        <f t="shared" si="3"/>
        <v>0.013015224242778211</v>
      </c>
      <c r="N39" s="89"/>
    </row>
    <row r="40" spans="2:14" ht="15" customHeight="1">
      <c r="B40" s="103" t="s">
        <v>12</v>
      </c>
      <c r="C40" s="132">
        <v>0.105</v>
      </c>
      <c r="D40" s="136">
        <f>SUM(E31:E33)</f>
        <v>1.124865832263421</v>
      </c>
      <c r="E40" s="138">
        <f>C40*D40</f>
        <v>0.11811091238765921</v>
      </c>
      <c r="F40" s="132">
        <v>0.105</v>
      </c>
      <c r="G40" s="136">
        <f>SUM(H31:H33)</f>
        <v>2.193459460890505</v>
      </c>
      <c r="H40" s="141">
        <f>F40*G40</f>
        <v>0.23031324339350304</v>
      </c>
      <c r="I40" s="132">
        <v>0.105</v>
      </c>
      <c r="J40" s="136">
        <f>SUM(K31:K33)</f>
        <v>2.514861379169394</v>
      </c>
      <c r="K40" s="138">
        <f>I40*J40</f>
        <v>0.26406044481278634</v>
      </c>
      <c r="L40" s="94">
        <f>($E40*$E$8)+($H40*$H$8)+($K40*$K$8)</f>
        <v>0.21399640079348287</v>
      </c>
      <c r="M40" s="198">
        <f t="shared" si="3"/>
        <v>0.03445157794625315</v>
      </c>
      <c r="N40" s="89"/>
    </row>
    <row r="41" spans="2:14" ht="15" customHeight="1">
      <c r="B41" s="103" t="s">
        <v>10</v>
      </c>
      <c r="C41" s="132">
        <v>0.0033</v>
      </c>
      <c r="D41" s="37">
        <f>'FROTA E CUSTOS'!F5</f>
        <v>356200</v>
      </c>
      <c r="E41" s="138">
        <f>C41*D41/$C$12</f>
        <v>0.22620973622271792</v>
      </c>
      <c r="F41" s="132">
        <f>C41</f>
        <v>0.0033</v>
      </c>
      <c r="G41" s="37">
        <f>D41</f>
        <v>356200</v>
      </c>
      <c r="H41" s="138">
        <f>F41*G41/$F$12</f>
        <v>0.19241929191953167</v>
      </c>
      <c r="I41" s="132">
        <f>F41</f>
        <v>0.0033</v>
      </c>
      <c r="J41" s="37">
        <f>G41</f>
        <v>356200</v>
      </c>
      <c r="K41" s="138">
        <f>I41*J41/$I$12</f>
        <v>0.24124456033987754</v>
      </c>
      <c r="L41" s="94">
        <f t="shared" si="2"/>
        <v>0.2018828755244081</v>
      </c>
      <c r="M41" s="198">
        <f t="shared" si="3"/>
        <v>0.03250140467948787</v>
      </c>
      <c r="N41" s="89"/>
    </row>
    <row r="42" spans="2:14" ht="15" customHeight="1">
      <c r="B42" s="109" t="s">
        <v>11</v>
      </c>
      <c r="C42" s="132">
        <v>0.3778</v>
      </c>
      <c r="D42" s="37">
        <f>G42</f>
        <v>1915.36</v>
      </c>
      <c r="E42" s="261">
        <f>C42*D42/$C$12</f>
        <v>0.13925660572403117</v>
      </c>
      <c r="F42" s="132">
        <f>C42</f>
        <v>0.3778</v>
      </c>
      <c r="G42" s="118">
        <f>G31</f>
        <v>1915.36</v>
      </c>
      <c r="H42" s="261">
        <f>F42*G42/$F$12</f>
        <v>0.11845492557470404</v>
      </c>
      <c r="I42" s="132">
        <f>F42</f>
        <v>0.3778</v>
      </c>
      <c r="J42" s="118">
        <f>J31</f>
        <v>1915.36</v>
      </c>
      <c r="K42" s="261">
        <f>I42*J42/$I$12</f>
        <v>0.14851216920761207</v>
      </c>
      <c r="L42" s="160">
        <f t="shared" si="2"/>
        <v>0.12428078679892275</v>
      </c>
      <c r="M42" s="199">
        <f t="shared" si="3"/>
        <v>0.020008136574954732</v>
      </c>
      <c r="N42" s="89"/>
    </row>
    <row r="43" spans="2:14" s="5" customFormat="1" ht="9.75" customHeight="1">
      <c r="B43" s="9"/>
      <c r="C43" s="92"/>
      <c r="D43" s="92"/>
      <c r="E43" s="92"/>
      <c r="F43" s="92"/>
      <c r="G43" s="92"/>
      <c r="H43" s="92"/>
      <c r="I43" s="92"/>
      <c r="J43" s="92"/>
      <c r="K43" s="92"/>
      <c r="L43" s="9"/>
      <c r="M43" s="200"/>
      <c r="N43" s="89"/>
    </row>
    <row r="44" spans="2:13" s="163" customFormat="1" ht="15" customHeight="1">
      <c r="B44" s="173" t="s">
        <v>91</v>
      </c>
      <c r="C44" s="174"/>
      <c r="D44" s="175"/>
      <c r="E44" s="176">
        <f>E19+E29</f>
        <v>3.997264260406895</v>
      </c>
      <c r="F44" s="177"/>
      <c r="G44" s="178"/>
      <c r="H44" s="176">
        <f>H19+H29</f>
        <v>5.496486799265541</v>
      </c>
      <c r="I44" s="177"/>
      <c r="J44" s="178"/>
      <c r="K44" s="176">
        <f>K19+K29</f>
        <v>7.516119119123496</v>
      </c>
      <c r="L44" s="179">
        <f>(E44*$E$8)+(H44*$H$8)+(K44*$K$8)</f>
        <v>5.399456269970466</v>
      </c>
      <c r="M44" s="202">
        <f>L44/$L$54</f>
        <v>0.8692659683178088</v>
      </c>
    </row>
    <row r="45" spans="2:14" s="5" customFormat="1" ht="9.75" customHeight="1">
      <c r="B45" s="9"/>
      <c r="C45" s="92"/>
      <c r="D45" s="92"/>
      <c r="E45" s="92"/>
      <c r="F45" s="92"/>
      <c r="G45" s="92"/>
      <c r="H45" s="92"/>
      <c r="I45" s="92"/>
      <c r="J45" s="92"/>
      <c r="K45" s="92"/>
      <c r="L45" s="9"/>
      <c r="M45" s="200"/>
      <c r="N45" s="89"/>
    </row>
    <row r="46" spans="2:13" s="163" customFormat="1" ht="15" customHeight="1">
      <c r="B46" s="168" t="s">
        <v>92</v>
      </c>
      <c r="C46" s="164"/>
      <c r="D46" s="165"/>
      <c r="E46" s="166">
        <f>E47+E49+E50+E51+E52</f>
        <v>0.7274402931163626</v>
      </c>
      <c r="F46" s="169"/>
      <c r="G46" s="170"/>
      <c r="H46" s="167">
        <f>H47+H49+H50+H51+H52</f>
        <v>0.7324079546735937</v>
      </c>
      <c r="I46" s="171"/>
      <c r="J46" s="170"/>
      <c r="K46" s="166">
        <f>K47+K49+K50+K51+K52</f>
        <v>1.7759423399928604</v>
      </c>
      <c r="L46" s="172">
        <f>L47+L49+L50+L51+L52</f>
        <v>0.8120560481977207</v>
      </c>
      <c r="M46" s="201">
        <f aca="true" t="shared" si="4" ref="M46:M52">L46/$L$54</f>
        <v>0.13073403168219122</v>
      </c>
    </row>
    <row r="47" spans="2:14" ht="15" customHeight="1">
      <c r="B47" s="102" t="s">
        <v>86</v>
      </c>
      <c r="C47" s="100">
        <f>1/120</f>
        <v>0.008333333333333333</v>
      </c>
      <c r="D47" s="135">
        <f>'FROTA E CUSTOS'!H4</f>
        <v>322741.88</v>
      </c>
      <c r="E47" s="162">
        <f>C47*D47*0.9/C13</f>
        <v>0.40901446774677314</v>
      </c>
      <c r="F47" s="100">
        <f>1/120</f>
        <v>0.008333333333333333</v>
      </c>
      <c r="G47" s="133">
        <f>'FROTA E CUSTOS'!H5</f>
        <v>349941.88</v>
      </c>
      <c r="H47" s="162">
        <f>F47*G47*0.9/F13</f>
        <v>0.3993386496880235</v>
      </c>
      <c r="I47" s="100">
        <f>1/120</f>
        <v>0.008333333333333333</v>
      </c>
      <c r="J47" s="133">
        <f>'FROTA E CUSTOS'!H6</f>
        <v>789461.2</v>
      </c>
      <c r="K47" s="162">
        <f>I47*J47*0.9/I12</f>
        <v>1.2151831204340777</v>
      </c>
      <c r="L47" s="114">
        <f>(E47*$E$8)+(H47*$H$8)+(K47*$K$8)</f>
        <v>0.46389467151795205</v>
      </c>
      <c r="M47" s="197">
        <f t="shared" si="4"/>
        <v>0.07468304782413399</v>
      </c>
      <c r="N47" s="89"/>
    </row>
    <row r="48" spans="2:14" ht="15" customHeight="1">
      <c r="B48" s="102" t="s">
        <v>167</v>
      </c>
      <c r="C48" s="100">
        <f>1/12</f>
        <v>0.08333333333333333</v>
      </c>
      <c r="D48" s="135">
        <f>((D47/100)*5)</f>
        <v>16137.094</v>
      </c>
      <c r="E48" s="162">
        <f>C48*D48*5/C8</f>
        <v>0.03155975831379422</v>
      </c>
      <c r="F48" s="100">
        <f>1/12</f>
        <v>0.08333333333333333</v>
      </c>
      <c r="G48" s="133">
        <f>((G47/100)*5)</f>
        <v>17497.094</v>
      </c>
      <c r="H48" s="162">
        <f>F48*G48*11/F8</f>
        <v>0.016830364546238537</v>
      </c>
      <c r="I48" s="100">
        <f>1/12</f>
        <v>0.08333333333333333</v>
      </c>
      <c r="J48" s="133"/>
      <c r="K48" s="162">
        <v>0</v>
      </c>
      <c r="L48" s="114">
        <f>(E48*$E$8)+(H48*$H$8)</f>
        <v>0.018015960587266084</v>
      </c>
      <c r="M48" s="197">
        <f t="shared" si="4"/>
        <v>0.0029004145310266567</v>
      </c>
      <c r="N48" s="89"/>
    </row>
    <row r="49" spans="2:14" ht="15" customHeight="1">
      <c r="B49" s="103" t="s">
        <v>85</v>
      </c>
      <c r="C49" s="99">
        <v>0.0001</v>
      </c>
      <c r="D49" s="37">
        <f>'FROTA E CUSTOS'!F5</f>
        <v>356200</v>
      </c>
      <c r="E49" s="262">
        <f>C49*D49/$C$12</f>
        <v>0.006854840491597513</v>
      </c>
      <c r="F49" s="99">
        <v>0.0001</v>
      </c>
      <c r="G49" s="37">
        <f>D49</f>
        <v>356200</v>
      </c>
      <c r="H49" s="262">
        <f>F49*G49/$F$12</f>
        <v>0.005830887633925203</v>
      </c>
      <c r="I49" s="99">
        <v>0.0001</v>
      </c>
      <c r="J49" s="37">
        <f>G49</f>
        <v>356200</v>
      </c>
      <c r="K49" s="262">
        <f>I49*J49/$I$12</f>
        <v>0.0073104412224205325</v>
      </c>
      <c r="L49" s="160">
        <f>(E49*$E$8)+(H49*$H$8)+(K49*$K$8)</f>
        <v>0.0061176628946790325</v>
      </c>
      <c r="M49" s="198">
        <f t="shared" si="4"/>
        <v>0.0009848910508935718</v>
      </c>
      <c r="N49" s="89"/>
    </row>
    <row r="50" spans="2:14" ht="15" customHeight="1">
      <c r="B50" s="103" t="s">
        <v>87</v>
      </c>
      <c r="C50" s="99">
        <f>((10-'FROTA E CUSTOS'!E29)/10)*0.01</f>
        <v>0.0042439024390243905</v>
      </c>
      <c r="D50" s="135">
        <f>D47</f>
        <v>322741.88</v>
      </c>
      <c r="E50" s="140">
        <f>C50*D50/C12</f>
        <v>0.26358710143680936</v>
      </c>
      <c r="F50" s="98">
        <f>((10-'FROTA E CUSTOS'!D29)/10)*0.01</f>
        <v>0.005</v>
      </c>
      <c r="G50" s="133">
        <f>G47</f>
        <v>349941.88</v>
      </c>
      <c r="H50" s="140">
        <f>F50*G50/F12</f>
        <v>0.28642220391416856</v>
      </c>
      <c r="I50" s="99">
        <f>((10-'FROTA E CUSTOS'!F29)/10)*0.01</f>
        <v>0.0030999999999999995</v>
      </c>
      <c r="J50" s="133">
        <f>J47</f>
        <v>789461.2</v>
      </c>
      <c r="K50" s="140">
        <f>I50*J50/I12</f>
        <v>0.5022756897794186</v>
      </c>
      <c r="L50" s="160">
        <f>(E50*$E$8)+(H50*$H$8)+(K50*$K$8)</f>
        <v>0.29922007352233637</v>
      </c>
      <c r="M50" s="198">
        <f t="shared" si="4"/>
        <v>0.04817185545090864</v>
      </c>
      <c r="N50" s="89"/>
    </row>
    <row r="51" spans="2:14" ht="15" customHeight="1">
      <c r="B51" s="103" t="s">
        <v>88</v>
      </c>
      <c r="C51" s="99">
        <v>0.0004</v>
      </c>
      <c r="D51" s="37">
        <f>'FROTA E CUSTOS'!F5</f>
        <v>356200</v>
      </c>
      <c r="E51" s="140">
        <f>C51*D51/$C$12</f>
        <v>0.02741936196639005</v>
      </c>
      <c r="F51" s="99">
        <v>0.0004</v>
      </c>
      <c r="G51" s="37">
        <f>D51</f>
        <v>356200</v>
      </c>
      <c r="H51" s="140">
        <f>F51*G51/$F$12</f>
        <v>0.023323550535700812</v>
      </c>
      <c r="I51" s="99">
        <v>0.0004</v>
      </c>
      <c r="J51" s="37">
        <f>G51</f>
        <v>356200</v>
      </c>
      <c r="K51" s="140">
        <f>I51*J51/$I$12</f>
        <v>0.02924176488968213</v>
      </c>
      <c r="L51" s="160">
        <f>(E51*$E$8)+(H51*$H$8)+(K51*$K$8)</f>
        <v>0.02447065157871613</v>
      </c>
      <c r="M51" s="198">
        <f t="shared" si="4"/>
        <v>0.003939564203574287</v>
      </c>
      <c r="N51" s="89"/>
    </row>
    <row r="52" spans="2:14" ht="15" customHeight="1">
      <c r="B52" s="109" t="s">
        <v>89</v>
      </c>
      <c r="C52" s="99">
        <v>0.0003</v>
      </c>
      <c r="D52" s="255">
        <f>'FROTA E CUSTOS'!F5</f>
        <v>356200</v>
      </c>
      <c r="E52" s="263">
        <f>C52*D52/$C$12</f>
        <v>0.020564521474792534</v>
      </c>
      <c r="F52" s="99">
        <v>0.0003</v>
      </c>
      <c r="G52" s="255">
        <f>D52</f>
        <v>356200</v>
      </c>
      <c r="H52" s="263">
        <f>F52*G52/$F$12</f>
        <v>0.017492662901775605</v>
      </c>
      <c r="I52" s="99">
        <v>0.0003</v>
      </c>
      <c r="J52" s="255">
        <f>G52</f>
        <v>356200</v>
      </c>
      <c r="K52" s="263">
        <f>I52*J52/$I$12</f>
        <v>0.021931323667261592</v>
      </c>
      <c r="L52" s="160">
        <f>(E52*$E$8)+(H52*$H$8)+(K52*$K$8)</f>
        <v>0.01835298868403709</v>
      </c>
      <c r="M52" s="199">
        <f t="shared" si="4"/>
        <v>0.0029546731526807145</v>
      </c>
      <c r="N52" s="89"/>
    </row>
    <row r="53" spans="2:16" ht="9.75" customHeight="1">
      <c r="B53" s="9"/>
      <c r="C53" s="92"/>
      <c r="D53" s="92"/>
      <c r="E53" s="92"/>
      <c r="F53" s="92"/>
      <c r="G53" s="92"/>
      <c r="H53" s="92"/>
      <c r="I53" s="92"/>
      <c r="J53" s="92"/>
      <c r="K53" s="92"/>
      <c r="L53" s="9"/>
      <c r="M53" s="200"/>
      <c r="N53" s="89"/>
      <c r="P53" s="5"/>
    </row>
    <row r="54" spans="2:16" s="163" customFormat="1" ht="15" customHeight="1">
      <c r="B54" s="173" t="s">
        <v>90</v>
      </c>
      <c r="C54" s="174"/>
      <c r="D54" s="175"/>
      <c r="E54" s="176">
        <f>E44+E46</f>
        <v>4.7247045535232575</v>
      </c>
      <c r="F54" s="177"/>
      <c r="G54" s="178"/>
      <c r="H54" s="176">
        <f>H44+H46</f>
        <v>6.228894753939135</v>
      </c>
      <c r="I54" s="177"/>
      <c r="J54" s="178"/>
      <c r="K54" s="176">
        <f>K44+K46</f>
        <v>9.292061459116356</v>
      </c>
      <c r="L54" s="179">
        <f>(E54*$E$8)+(H54*$H$8)+(K54*$K$8)</f>
        <v>6.211512318168187</v>
      </c>
      <c r="M54" s="202">
        <f>L54/L54</f>
        <v>1</v>
      </c>
      <c r="O54" s="163">
        <f>H54-E54</f>
        <v>1.5041902004158771</v>
      </c>
      <c r="P54" s="272">
        <f>O54/E54</f>
        <v>0.31836703933036153</v>
      </c>
    </row>
    <row r="55" spans="2:16" ht="9.75" customHeight="1">
      <c r="B55" s="9"/>
      <c r="C55" s="92"/>
      <c r="D55" s="92"/>
      <c r="E55" s="92"/>
      <c r="F55" s="92"/>
      <c r="G55" s="92"/>
      <c r="H55" s="92"/>
      <c r="I55" s="92"/>
      <c r="J55" s="92"/>
      <c r="K55" s="92"/>
      <c r="L55" s="180"/>
      <c r="M55" s="203"/>
      <c r="N55" s="89"/>
      <c r="P55" s="5"/>
    </row>
    <row r="56" spans="2:14" ht="15" customHeight="1">
      <c r="B56" s="187" t="s">
        <v>93</v>
      </c>
      <c r="C56" s="511"/>
      <c r="D56" s="512"/>
      <c r="E56" s="512"/>
      <c r="F56" s="512"/>
      <c r="G56" s="512"/>
      <c r="H56" s="512"/>
      <c r="I56" s="512"/>
      <c r="J56" s="512"/>
      <c r="K56" s="513"/>
      <c r="L56" s="188">
        <f>(L54/0.95)-L54</f>
        <v>0.32692170095622064</v>
      </c>
      <c r="M56" s="204">
        <f>L56/$L$54</f>
        <v>0.05263157894736847</v>
      </c>
      <c r="N56" s="89"/>
    </row>
    <row r="57" spans="2:14" ht="15" customHeight="1">
      <c r="B57" s="189" t="s">
        <v>9</v>
      </c>
      <c r="C57" s="190" t="s">
        <v>107</v>
      </c>
      <c r="D57" s="214">
        <v>0</v>
      </c>
      <c r="E57" s="192"/>
      <c r="F57" s="193" t="s">
        <v>68</v>
      </c>
      <c r="G57" s="191">
        <v>0.02</v>
      </c>
      <c r="H57" s="192"/>
      <c r="I57" s="190" t="s">
        <v>67</v>
      </c>
      <c r="J57" s="214">
        <v>0.02</v>
      </c>
      <c r="K57" s="192"/>
      <c r="L57" s="194">
        <f>L59-L56-L54</f>
        <v>0.272434750796851</v>
      </c>
      <c r="M57" s="205">
        <f>L57/$L$54</f>
        <v>0.043859649122807126</v>
      </c>
      <c r="N57" s="89"/>
    </row>
    <row r="58" spans="2:14" ht="9.75" customHeight="1">
      <c r="B58" s="181"/>
      <c r="C58" s="182"/>
      <c r="D58" s="69"/>
      <c r="E58" s="69"/>
      <c r="F58" s="69"/>
      <c r="G58" s="69"/>
      <c r="H58" s="69"/>
      <c r="I58" s="69"/>
      <c r="J58" s="69"/>
      <c r="K58" s="69"/>
      <c r="L58" s="183"/>
      <c r="M58" s="184"/>
      <c r="N58" s="89"/>
    </row>
    <row r="59" spans="2:13" s="163" customFormat="1" ht="15" customHeight="1">
      <c r="B59" s="185" t="s">
        <v>108</v>
      </c>
      <c r="C59" s="502"/>
      <c r="D59" s="503"/>
      <c r="E59" s="503"/>
      <c r="F59" s="503"/>
      <c r="G59" s="503"/>
      <c r="H59" s="503"/>
      <c r="I59" s="503"/>
      <c r="J59" s="503"/>
      <c r="K59" s="504"/>
      <c r="L59" s="505">
        <f>(L54+L56)/(1-D57-G57-J57)</f>
        <v>6.8108687699212584</v>
      </c>
      <c r="M59" s="506"/>
    </row>
    <row r="60" spans="2:13" s="163" customFormat="1" ht="15" customHeight="1">
      <c r="B60" s="186" t="s">
        <v>69</v>
      </c>
      <c r="C60" s="524"/>
      <c r="D60" s="525"/>
      <c r="E60" s="525"/>
      <c r="F60" s="525"/>
      <c r="G60" s="525"/>
      <c r="H60" s="525"/>
      <c r="I60" s="525"/>
      <c r="J60" s="525"/>
      <c r="K60" s="526"/>
      <c r="L60" s="527">
        <f>L14/L8</f>
        <v>1.5353450521137182</v>
      </c>
      <c r="M60" s="528"/>
    </row>
    <row r="61" spans="2:16" ht="9.75" customHeight="1" thickBot="1">
      <c r="B61" s="9"/>
      <c r="C61" s="92"/>
      <c r="D61" s="92"/>
      <c r="E61" s="92"/>
      <c r="F61" s="92"/>
      <c r="G61" s="92"/>
      <c r="H61" s="92"/>
      <c r="I61" s="92"/>
      <c r="J61" s="92"/>
      <c r="K61" s="92"/>
      <c r="L61" s="9"/>
      <c r="M61" s="9"/>
      <c r="N61" s="89"/>
      <c r="P61" s="5"/>
    </row>
    <row r="62" spans="2:14" ht="19.5" customHeight="1" thickBot="1">
      <c r="B62" s="105" t="s">
        <v>94</v>
      </c>
      <c r="C62" s="516"/>
      <c r="D62" s="516"/>
      <c r="E62" s="516"/>
      <c r="F62" s="516"/>
      <c r="G62" s="516"/>
      <c r="H62" s="516"/>
      <c r="I62" s="516"/>
      <c r="J62" s="516"/>
      <c r="K62" s="516"/>
      <c r="L62" s="522">
        <f>L59/L60</f>
        <v>4.436050880253072</v>
      </c>
      <c r="M62" s="523"/>
      <c r="N62" s="89"/>
    </row>
    <row r="63" ht="11.25">
      <c r="N63" s="241"/>
    </row>
    <row r="64" spans="9:14" ht="11.25">
      <c r="I64" s="478"/>
      <c r="J64" s="478"/>
      <c r="K64" s="478"/>
      <c r="L64" s="478"/>
      <c r="M64" s="478"/>
      <c r="N64" s="285"/>
    </row>
    <row r="65" spans="11:13" ht="11.25">
      <c r="K65" s="430"/>
      <c r="L65" s="216"/>
      <c r="M65" s="373"/>
    </row>
    <row r="66" spans="11:13" ht="11.25">
      <c r="K66" s="430"/>
      <c r="L66" s="216"/>
      <c r="M66" s="298"/>
    </row>
    <row r="67" spans="11:12" ht="11.25">
      <c r="K67" s="241"/>
      <c r="L67" s="341"/>
    </row>
  </sheetData>
  <sheetProtection/>
  <mergeCells count="52">
    <mergeCell ref="C62:K62"/>
    <mergeCell ref="F9:G9"/>
    <mergeCell ref="L14:M14"/>
    <mergeCell ref="I9:J9"/>
    <mergeCell ref="I16:K16"/>
    <mergeCell ref="L9:M9"/>
    <mergeCell ref="L10:M10"/>
    <mergeCell ref="L62:M62"/>
    <mergeCell ref="C60:K60"/>
    <mergeCell ref="L60:M60"/>
    <mergeCell ref="C59:K59"/>
    <mergeCell ref="L59:M59"/>
    <mergeCell ref="B16:B17"/>
    <mergeCell ref="L16:M16"/>
    <mergeCell ref="C56:K56"/>
    <mergeCell ref="C16:E16"/>
    <mergeCell ref="F16:H16"/>
    <mergeCell ref="L11:M11"/>
    <mergeCell ref="L12:M12"/>
    <mergeCell ref="F12:H12"/>
    <mergeCell ref="I10:J10"/>
    <mergeCell ref="F10:G10"/>
    <mergeCell ref="C9:D9"/>
    <mergeCell ref="C10:D10"/>
    <mergeCell ref="B14:K14"/>
    <mergeCell ref="C11:E11"/>
    <mergeCell ref="C12:E12"/>
    <mergeCell ref="F11:H11"/>
    <mergeCell ref="I5:K5"/>
    <mergeCell ref="L5:M5"/>
    <mergeCell ref="L6:M6"/>
    <mergeCell ref="I6:K6"/>
    <mergeCell ref="C8:D8"/>
    <mergeCell ref="F8:G8"/>
    <mergeCell ref="C6:E6"/>
    <mergeCell ref="F5:H5"/>
    <mergeCell ref="F6:H6"/>
    <mergeCell ref="I8:J8"/>
    <mergeCell ref="B2:M2"/>
    <mergeCell ref="L4:M4"/>
    <mergeCell ref="L8:M8"/>
    <mergeCell ref="L7:M7"/>
    <mergeCell ref="C13:E13"/>
    <mergeCell ref="F13:H13"/>
    <mergeCell ref="I13:K13"/>
    <mergeCell ref="I64:M64"/>
    <mergeCell ref="C4:E4"/>
    <mergeCell ref="F4:H4"/>
    <mergeCell ref="I4:K4"/>
    <mergeCell ref="I12:K12"/>
    <mergeCell ref="I11:K11"/>
    <mergeCell ref="C5:E5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6" r:id="rId3"/>
  <headerFooter alignWithMargins="0">
    <oddHeader>&amp;C&amp;A</oddHeader>
    <oddFooter>&amp;CPágina &amp;P de &amp;N</oddFooter>
  </headerFooter>
  <ignoredErrors>
    <ignoredError sqref="H23 K50 E50 H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1" sqref="D51"/>
    </sheetView>
  </sheetViews>
  <sheetFormatPr defaultColWidth="9.00390625" defaultRowHeight="12.75"/>
  <cols>
    <col min="1" max="1" width="30.375" style="0" customWidth="1"/>
    <col min="2" max="2" width="12.50390625" style="0" customWidth="1"/>
    <col min="3" max="3" width="8.875" style="0" customWidth="1"/>
    <col min="4" max="4" width="9.50390625" style="246" customWidth="1"/>
    <col min="5" max="5" width="15.625" style="0" customWidth="1"/>
    <col min="6" max="6" width="19.75390625" style="0" customWidth="1"/>
    <col min="7" max="7" width="10.875" style="0" customWidth="1"/>
  </cols>
  <sheetData>
    <row r="1" spans="1:6" ht="12.75">
      <c r="A1" s="89"/>
      <c r="B1" s="475" t="s">
        <v>166</v>
      </c>
      <c r="C1" s="475"/>
      <c r="D1" s="475"/>
      <c r="E1" s="475"/>
      <c r="F1" s="475"/>
    </row>
    <row r="2" spans="1:6" ht="15.75">
      <c r="A2" s="228"/>
      <c r="B2" s="227" t="s">
        <v>139</v>
      </c>
      <c r="C2" s="218" t="s">
        <v>140</v>
      </c>
      <c r="D2" s="243" t="s">
        <v>136</v>
      </c>
      <c r="E2" s="225" t="s">
        <v>137</v>
      </c>
      <c r="F2" s="225" t="s">
        <v>138</v>
      </c>
    </row>
    <row r="3" spans="1:6" ht="15.75">
      <c r="A3" s="173" t="s">
        <v>83</v>
      </c>
      <c r="B3" s="227"/>
      <c r="C3" s="218"/>
      <c r="D3" s="227"/>
      <c r="E3" s="227"/>
      <c r="F3" s="227"/>
    </row>
    <row r="4" spans="1:6" ht="15.75">
      <c r="A4" s="229" t="s">
        <v>134</v>
      </c>
      <c r="B4" s="230">
        <f>'TÁRIFA '!L20</f>
        <v>0.4073720034545738</v>
      </c>
      <c r="C4" s="231">
        <f>B4/$B$46</f>
        <v>0.05965425095471455</v>
      </c>
      <c r="D4" s="244">
        <f>C4*'TÁRIFA '!$L$62</f>
        <v>0.26462929245849914</v>
      </c>
      <c r="E4" s="232">
        <f>D4*'TÁRIFA '!$L$14</f>
        <v>513348.16770431073</v>
      </c>
      <c r="F4" s="232">
        <f>E4*'TÁRIFA '!$T$16</f>
        <v>6160178.012451729</v>
      </c>
    </row>
    <row r="5" spans="1:6" ht="15.75">
      <c r="A5" s="229" t="s">
        <v>135</v>
      </c>
      <c r="B5" s="230">
        <f>'TÁRIFA '!L21</f>
        <v>0.6372609811185966</v>
      </c>
      <c r="C5" s="231">
        <f>B5/$B$46</f>
        <v>0.09331845627318736</v>
      </c>
      <c r="D5" s="244">
        <f>C5*'TÁRIFA '!$L$62</f>
        <v>0.4139654200945306</v>
      </c>
      <c r="E5" s="232">
        <f>D5*'TÁRIFA '!$L$14</f>
        <v>803041.824751126</v>
      </c>
      <c r="F5" s="232">
        <f>E5*'TÁRIFA '!$T$16</f>
        <v>9636501.897013512</v>
      </c>
    </row>
    <row r="6" spans="1:6" ht="15.75">
      <c r="A6" s="229" t="s">
        <v>133</v>
      </c>
      <c r="B6" s="230">
        <f>'TÁRIFA '!L22</f>
        <v>0.012314364805122229</v>
      </c>
      <c r="C6" s="231">
        <f aca="true" t="shared" si="0" ref="C6:C11">B6/$B$46</f>
        <v>0.001803276126496459</v>
      </c>
      <c r="D6" s="244">
        <f>C6*'TÁRIFA '!$L$62</f>
        <v>0.007999424648283968</v>
      </c>
      <c r="E6" s="232">
        <f>D6*'TÁRIFA '!$L$14</f>
        <v>15517.896555345555</v>
      </c>
      <c r="F6" s="232">
        <f>E6*'TÁRIFA '!$T$16</f>
        <v>186214.75866414665</v>
      </c>
    </row>
    <row r="7" spans="1:6" ht="15.75">
      <c r="A7" s="229" t="s">
        <v>0</v>
      </c>
      <c r="B7" s="230">
        <f>'TÁRIFA '!L23</f>
        <v>0.05284736746891464</v>
      </c>
      <c r="C7" s="231">
        <f t="shared" si="0"/>
        <v>0.00773879916771992</v>
      </c>
      <c r="D7" s="244">
        <f>C7*'TÁRIFA '!$L$62</f>
        <v>0.034329706860065694</v>
      </c>
      <c r="E7" s="232">
        <f>D7*'TÁRIFA '!$L$14</f>
        <v>66595.39445053913</v>
      </c>
      <c r="F7" s="232">
        <f>E7*'TÁRIFA '!$T$16</f>
        <v>799144.7334064695</v>
      </c>
    </row>
    <row r="8" spans="1:6" ht="15.75">
      <c r="A8" s="233" t="s">
        <v>62</v>
      </c>
      <c r="B8" s="230">
        <f>'TÁRIFA '!L24</f>
        <v>0.05500422438199462</v>
      </c>
      <c r="C8" s="231">
        <f t="shared" si="0"/>
        <v>0.00805464238344211</v>
      </c>
      <c r="D8" s="244">
        <f>C8*'TÁRIFA '!$L$62</f>
        <v>0.035730803435192075</v>
      </c>
      <c r="E8" s="232">
        <f>D8*'TÁRIFA '!$L$14</f>
        <v>69313.34888761533</v>
      </c>
      <c r="F8" s="232">
        <f>E8*'TÁRIFA '!$T$16</f>
        <v>831760.186651384</v>
      </c>
    </row>
    <row r="9" spans="1:6" ht="15.75">
      <c r="A9" s="233" t="s">
        <v>63</v>
      </c>
      <c r="B9" s="230">
        <f>'TÁRIFA '!L25</f>
        <v>0.008475855832269178</v>
      </c>
      <c r="C9" s="231">
        <f t="shared" si="0"/>
        <v>0.0012411771712008395</v>
      </c>
      <c r="D9" s="244">
        <f>C9*'TÁRIFA '!$L$62</f>
        <v>0.005505925082855502</v>
      </c>
      <c r="E9" s="232">
        <f>D9*'TÁRIFA '!$L$14</f>
        <v>10680.81513781903</v>
      </c>
      <c r="F9" s="232">
        <f>E9*'TÁRIFA '!$T$16</f>
        <v>128169.78165382837</v>
      </c>
    </row>
    <row r="10" spans="1:6" ht="15.75">
      <c r="A10" s="233" t="s">
        <v>64</v>
      </c>
      <c r="B10" s="230">
        <f>'TÁRIFA '!L26</f>
        <v>0.056031512728297914</v>
      </c>
      <c r="C10" s="231">
        <f t="shared" si="0"/>
        <v>0.008205075197414473</v>
      </c>
      <c r="D10" s="244">
        <f>C10*'TÁRIFA '!$L$62</f>
        <v>0.03639813105203312</v>
      </c>
      <c r="E10" s="232">
        <f>D10*'TÁRIFA '!$L$14</f>
        <v>70607.88210493691</v>
      </c>
      <c r="F10" s="232">
        <f>E10*'TÁRIFA '!$T$16</f>
        <v>847294.5852592429</v>
      </c>
    </row>
    <row r="11" spans="1:6" ht="15.75">
      <c r="A11" s="233" t="s">
        <v>65</v>
      </c>
      <c r="B11" s="230">
        <f>'TÁRIFA '!L27</f>
        <v>0.008135170324676842</v>
      </c>
      <c r="C11" s="231">
        <f t="shared" si="0"/>
        <v>0.0011912882770348126</v>
      </c>
      <c r="D11" s="244">
        <f>C11*'TÁRIFA '!$L$62</f>
        <v>0.005284615409975446</v>
      </c>
      <c r="E11" s="232">
        <f>D11*'TÁRIFA '!$L$14</f>
        <v>10251.50168573385</v>
      </c>
      <c r="F11" s="232">
        <f>E11*'TÁRIFA '!$T$16</f>
        <v>123018.02022880621</v>
      </c>
    </row>
    <row r="12" spans="1:6" ht="15.75">
      <c r="A12" s="248" t="s">
        <v>141</v>
      </c>
      <c r="B12" s="249">
        <f>SUM(B4:B11)</f>
        <v>1.2374414801144462</v>
      </c>
      <c r="C12" s="250">
        <f>SUM(C4:C11)</f>
        <v>0.18120696555121055</v>
      </c>
      <c r="D12" s="251">
        <f>SUM(D4:D11)</f>
        <v>0.8038433190414356</v>
      </c>
      <c r="E12" s="252">
        <f>SUM(E4:E11)</f>
        <v>1559356.8312774266</v>
      </c>
      <c r="F12" s="252">
        <f>SUM(F4:F11)</f>
        <v>18712281.97532912</v>
      </c>
    </row>
    <row r="13" spans="1:6" ht="15.75">
      <c r="A13" s="9"/>
      <c r="B13" s="227"/>
      <c r="C13" s="218"/>
      <c r="D13" s="245"/>
      <c r="E13" s="219"/>
      <c r="F13" s="220"/>
    </row>
    <row r="14" spans="1:6" ht="15.75">
      <c r="A14" s="173" t="s">
        <v>84</v>
      </c>
      <c r="B14" s="227" t="s">
        <v>117</v>
      </c>
      <c r="C14" s="218" t="s">
        <v>117</v>
      </c>
      <c r="D14" s="245" t="s">
        <v>117</v>
      </c>
      <c r="E14" s="219" t="s">
        <v>117</v>
      </c>
      <c r="F14" s="221"/>
    </row>
    <row r="15" spans="1:6" ht="15.75">
      <c r="A15" s="234" t="s">
        <v>3</v>
      </c>
      <c r="B15" s="235">
        <f>'TÁRIFA '!L30</f>
        <v>0.3789555990382662</v>
      </c>
      <c r="C15" s="236">
        <f aca="true" t="shared" si="1" ref="C15:C23">B15/$B$46</f>
        <v>0.05549304373893665</v>
      </c>
      <c r="D15" s="242">
        <f>C15*'TÁRIFA '!$L$62</f>
        <v>0.24616996552603215</v>
      </c>
      <c r="E15" s="237">
        <f>D15*'TÁRIFA '!$L$14</f>
        <v>477539.35164392367</v>
      </c>
      <c r="F15" s="237">
        <f>E15*'TÁRIFA '!$T$16</f>
        <v>5730472.219727084</v>
      </c>
    </row>
    <row r="16" spans="1:6" ht="15.75">
      <c r="A16" s="238" t="s">
        <v>4</v>
      </c>
      <c r="B16" s="235">
        <f>'TÁRIFA '!L31</f>
        <v>1.264654584397966</v>
      </c>
      <c r="C16" s="236">
        <f t="shared" si="1"/>
        <v>0.18519196535094995</v>
      </c>
      <c r="D16" s="242">
        <f>C16*'TÁRIFA '!$L$62</f>
        <v>0.821520980910878</v>
      </c>
      <c r="E16" s="237">
        <f>D16*'TÁRIFA '!$L$14</f>
        <v>1593649.3135860425</v>
      </c>
      <c r="F16" s="237">
        <f>E16*'TÁRIFA '!$T$16</f>
        <v>19123791.76303251</v>
      </c>
    </row>
    <row r="17" spans="1:6" ht="15.75">
      <c r="A17" s="238" t="s">
        <v>5</v>
      </c>
      <c r="B17" s="235">
        <f>'TÁRIFA '!L32</f>
        <v>0.6892234007143119</v>
      </c>
      <c r="C17" s="236">
        <f t="shared" si="1"/>
        <v>0.10092766650975343</v>
      </c>
      <c r="D17" s="242">
        <f>C17*'TÁRIFA '!$L$62</f>
        <v>0.4477202638624802</v>
      </c>
      <c r="E17" s="237">
        <f>D17*'TÁRIFA '!$L$14</f>
        <v>868522.0557506465</v>
      </c>
      <c r="F17" s="237">
        <f>E17*'TÁRIFA '!$T$16</f>
        <v>10422264.669007758</v>
      </c>
    </row>
    <row r="18" spans="1:6" ht="15.75">
      <c r="A18" s="238" t="s">
        <v>66</v>
      </c>
      <c r="B18" s="235">
        <f>'TÁRIFA '!L33</f>
        <v>0.08418297482565401</v>
      </c>
      <c r="C18" s="236">
        <f t="shared" si="1"/>
        <v>0.012327485108887638</v>
      </c>
      <c r="D18" s="242">
        <f>C18*'TÁRIFA '!$L$62</f>
        <v>0.054685351168587644</v>
      </c>
      <c r="E18" s="237">
        <f>D18*'TÁRIFA '!$L$14</f>
        <v>106082.8321833033</v>
      </c>
      <c r="F18" s="237">
        <f>E18*'TÁRIFA '!$T$16</f>
        <v>1272993.9861996395</v>
      </c>
    </row>
    <row r="19" spans="1:6" ht="15.75">
      <c r="A19" s="234" t="s">
        <v>6</v>
      </c>
      <c r="B19" s="235">
        <f>'TÁRIFA '!L34</f>
        <v>0.2751382295916208</v>
      </c>
      <c r="C19" s="236">
        <f t="shared" si="1"/>
        <v>0.04029036079089479</v>
      </c>
      <c r="D19" s="242">
        <f>C19*'TÁRIFA '!$L$62</f>
        <v>0.1787300904521627</v>
      </c>
      <c r="E19" s="237">
        <f>D19*'TÁRIFA '!$L$14</f>
        <v>346714.317205199</v>
      </c>
      <c r="F19" s="237">
        <f>E19*'TÁRIFA '!$T$16</f>
        <v>4160571.8064623876</v>
      </c>
    </row>
    <row r="20" spans="1:6" ht="15.75">
      <c r="A20" s="234" t="s">
        <v>49</v>
      </c>
      <c r="B20" s="235">
        <f>'TÁRIFA '!L35</f>
        <v>0.6258907796728108</v>
      </c>
      <c r="C20" s="236">
        <f t="shared" si="1"/>
        <v>0.09165344040390659</v>
      </c>
      <c r="D20" s="242">
        <f>C20*'TÁRIFA '!$L$62</f>
        <v>0.4065793249819723</v>
      </c>
      <c r="E20" s="237">
        <f>D20*'TÁRIFA '!$L$14</f>
        <v>788713.7118000013</v>
      </c>
      <c r="F20" s="237">
        <f>E20*'TÁRIFA '!$T$16</f>
        <v>9464564.541600015</v>
      </c>
    </row>
    <row r="21" spans="1:6" ht="15.75">
      <c r="A21" s="234" t="s">
        <v>7</v>
      </c>
      <c r="B21" s="235">
        <f>'TÁRIFA '!L36</f>
        <v>0.014610291465863436</v>
      </c>
      <c r="C21" s="236">
        <f t="shared" si="1"/>
        <v>0.0021394842704828398</v>
      </c>
      <c r="D21" s="242">
        <f>C21*'TÁRIFA '!$L$62</f>
        <v>0.009490861081363003</v>
      </c>
      <c r="E21" s="237">
        <f>D21*'TÁRIFA '!$L$14</f>
        <v>18411.099167405766</v>
      </c>
      <c r="F21" s="237">
        <f>E21*'TÁRIFA '!$T$16</f>
        <v>220933.1900088692</v>
      </c>
    </row>
    <row r="22" spans="1:6" ht="15.75">
      <c r="A22" s="234" t="s">
        <v>8</v>
      </c>
      <c r="B22" s="235">
        <f>'TÁRIFA '!L37</f>
        <v>0.17397041034183258</v>
      </c>
      <c r="C22" s="236">
        <f>B22/$B$46</f>
        <v>0.025475669484448533</v>
      </c>
      <c r="D22" s="242">
        <f>C22*'TÁRIFA '!$L$62</f>
        <v>0.11301136604152424</v>
      </c>
      <c r="E22" s="237">
        <f>D22*'TÁRIFA '!$L$14</f>
        <v>219228.10263446474</v>
      </c>
      <c r="F22" s="237">
        <f>E22*'TÁRIFA '!$T$16</f>
        <v>2630737.231613577</v>
      </c>
    </row>
    <row r="23" spans="1:6" ht="15.75">
      <c r="A23" s="234" t="s">
        <v>81</v>
      </c>
      <c r="B23" s="235">
        <f>'TÁRIFA '!L38</f>
        <v>0.03438423098314336</v>
      </c>
      <c r="C23" s="236">
        <f t="shared" si="1"/>
        <v>0.005035116617143847</v>
      </c>
      <c r="D23" s="242">
        <f>C23*'TÁRIFA '!$L$62</f>
        <v>0.022336033501657835</v>
      </c>
      <c r="E23" s="237">
        <f>D23*'TÁRIFA '!$L$14</f>
        <v>43329.148354414865</v>
      </c>
      <c r="F23" s="237">
        <f>E23*'TÁRIFA '!$T$16</f>
        <v>519949.7802529784</v>
      </c>
    </row>
    <row r="24" spans="1:6" ht="15.75">
      <c r="A24" s="234" t="s">
        <v>82</v>
      </c>
      <c r="B24" s="235">
        <f>'TÁRIFA '!L39</f>
        <v>0.08084422570773807</v>
      </c>
      <c r="C24" s="236">
        <f>B24/$B$46</f>
        <v>0.011838569385504602</v>
      </c>
      <c r="D24" s="242">
        <f>C24*'TÁRIFA '!$L$62</f>
        <v>0.05251649614350476</v>
      </c>
      <c r="E24" s="237">
        <f>D24*'TÁRIFA '!$L$14</f>
        <v>101875.52110750019</v>
      </c>
      <c r="F24" s="237">
        <f>E24*'TÁRIFA '!$T$16</f>
        <v>1222506.2532900022</v>
      </c>
    </row>
    <row r="25" spans="1:6" ht="15.75">
      <c r="A25" s="234" t="s">
        <v>12</v>
      </c>
      <c r="B25" s="235">
        <f>'TÁRIFA '!L40</f>
        <v>0.21399640079348287</v>
      </c>
      <c r="C25" s="236">
        <f>B25/$B$46</f>
        <v>0.03133694728180706</v>
      </c>
      <c r="D25" s="242">
        <f>C25*'TÁRIFA '!$L$62</f>
        <v>0.13901229257390432</v>
      </c>
      <c r="E25" s="237">
        <f>D25*'TÁRIFA '!$L$14</f>
        <v>269666.6911595992</v>
      </c>
      <c r="F25" s="237">
        <f>E25*'TÁRIFA '!$T$16</f>
        <v>3236000.2939151907</v>
      </c>
    </row>
    <row r="26" spans="1:6" ht="15.75">
      <c r="A26" s="234" t="s">
        <v>10</v>
      </c>
      <c r="B26" s="235">
        <f>'TÁRIFA '!L41</f>
        <v>0.2018828755244081</v>
      </c>
      <c r="C26" s="236">
        <f>B26/$B$46</f>
        <v>0.029563081453473958</v>
      </c>
      <c r="D26" s="242">
        <f>C26*'TÁRIFA '!$L$62</f>
        <v>0.1311433335046764</v>
      </c>
      <c r="E26" s="237">
        <f>D26*'TÁRIFA '!$L$14</f>
        <v>254401.88172599554</v>
      </c>
      <c r="F26" s="237">
        <f>E26*'TÁRIFA '!$T$16</f>
        <v>3052822.5807119464</v>
      </c>
    </row>
    <row r="27" spans="1:6" ht="15.75">
      <c r="A27" s="234" t="s">
        <v>11</v>
      </c>
      <c r="B27" s="235">
        <f>'TÁRIFA '!L42</f>
        <v>0.12428078679892275</v>
      </c>
      <c r="C27" s="236">
        <f>B27/$B$46</f>
        <v>0.018199280219753828</v>
      </c>
      <c r="D27" s="242">
        <f>C27*'TÁRIFA '!$L$62</f>
        <v>0.0807329330388113</v>
      </c>
      <c r="E27" s="237">
        <f>D27*'TÁRIFA '!$L$14</f>
        <v>156611.92630580804</v>
      </c>
      <c r="F27" s="237">
        <f>E27*'TÁRIFA '!$T$16</f>
        <v>1879343.1156696966</v>
      </c>
    </row>
    <row r="28" spans="1:6" ht="15.75">
      <c r="A28" s="248" t="s">
        <v>142</v>
      </c>
      <c r="B28" s="249">
        <f>SUM(B15:B27)</f>
        <v>4.162014789856021</v>
      </c>
      <c r="C28" s="250">
        <f>SUM(C15:C27)</f>
        <v>0.6094721106159438</v>
      </c>
      <c r="D28" s="251">
        <f>SUM(D15:D27)</f>
        <v>2.7036492927875555</v>
      </c>
      <c r="E28" s="252">
        <f>SUM(E15:E27)</f>
        <v>5244745.952624305</v>
      </c>
      <c r="F28" s="252">
        <f>SUM(F15:F27)</f>
        <v>62936951.43149165</v>
      </c>
    </row>
    <row r="29" spans="1:6" ht="15.75">
      <c r="A29" s="9"/>
      <c r="B29" s="227"/>
      <c r="C29" s="218"/>
      <c r="D29" s="245"/>
      <c r="E29" s="219"/>
      <c r="F29" s="220"/>
    </row>
    <row r="30" spans="1:6" ht="15.75">
      <c r="A30" s="173" t="s">
        <v>91</v>
      </c>
      <c r="B30" s="227">
        <f>B28+B12</f>
        <v>5.399456269970467</v>
      </c>
      <c r="C30" s="218">
        <f>C28+C12</f>
        <v>0.7906790761671543</v>
      </c>
      <c r="D30" s="227">
        <f>D28+D12</f>
        <v>3.507492611828991</v>
      </c>
      <c r="E30" s="254">
        <f>E28+E12</f>
        <v>6804102.7839017315</v>
      </c>
      <c r="F30" s="254">
        <f>F28+F12</f>
        <v>81649233.40682077</v>
      </c>
    </row>
    <row r="31" spans="1:6" ht="15.75">
      <c r="A31" s="9"/>
      <c r="B31" s="227" t="s">
        <v>117</v>
      </c>
      <c r="C31" s="218" t="s">
        <v>117</v>
      </c>
      <c r="D31" s="245" t="s">
        <v>117</v>
      </c>
      <c r="E31" s="219"/>
      <c r="F31" s="220"/>
    </row>
    <row r="32" spans="1:6" ht="15.75">
      <c r="A32" s="173" t="s">
        <v>92</v>
      </c>
      <c r="B32" s="227" t="s">
        <v>117</v>
      </c>
      <c r="C32" s="218" t="s">
        <v>117</v>
      </c>
      <c r="D32" s="245" t="s">
        <v>117</v>
      </c>
      <c r="E32" s="219"/>
      <c r="F32" s="221"/>
    </row>
    <row r="33" spans="1:6" ht="15.75">
      <c r="A33" s="229" t="s">
        <v>86</v>
      </c>
      <c r="B33" s="230">
        <f>'TÁRIFA '!L47</f>
        <v>0.46389467151795205</v>
      </c>
      <c r="C33" s="231">
        <f aca="true" t="shared" si="2" ref="C33:C38">B33/$B$46</f>
        <v>0.0679312493657229</v>
      </c>
      <c r="D33" s="244">
        <f>C33*'TÁRIFA '!$L$62</f>
        <v>0.301346478545506</v>
      </c>
      <c r="E33" s="232">
        <f>D33*'TÁRIFA '!$L$14</f>
        <v>584574.9772003877</v>
      </c>
      <c r="F33" s="232">
        <f>E33*'TÁRIFA '!$T$16</f>
        <v>7014899.726404653</v>
      </c>
    </row>
    <row r="34" spans="1:6" ht="15.75">
      <c r="A34" s="229" t="s">
        <v>170</v>
      </c>
      <c r="B34" s="230">
        <f>'TÁRIFA '!L48</f>
        <v>0.018015960587266084</v>
      </c>
      <c r="C34" s="231">
        <f t="shared" si="2"/>
        <v>0.0026381995447629257</v>
      </c>
      <c r="D34" s="244">
        <f>C34*'TÁRIFA '!$L$62</f>
        <v>0.01170318741282883</v>
      </c>
      <c r="E34" s="232">
        <f>D34*'TÁRIFA '!$L$14</f>
        <v>22702.739212508062</v>
      </c>
      <c r="F34" s="232">
        <f>E34*'TÁRIFA '!$T$16</f>
        <v>272432.87055009673</v>
      </c>
    </row>
    <row r="35" spans="1:6" ht="15.75">
      <c r="A35" s="229" t="s">
        <v>85</v>
      </c>
      <c r="B35" s="230">
        <f>'TÁRIFA '!L49</f>
        <v>0.0061176628946790325</v>
      </c>
      <c r="C35" s="231">
        <f t="shared" si="2"/>
        <v>0.0008958509531355744</v>
      </c>
      <c r="D35" s="244">
        <f>C35*'TÁRIFA '!$L$62</f>
        <v>0.003974040409232618</v>
      </c>
      <c r="E35" s="232">
        <f>D35*'TÁRIFA '!$L$14</f>
        <v>7709.1479310907725</v>
      </c>
      <c r="F35" s="232">
        <f>E35*'TÁRIFA '!$T$16</f>
        <v>92509.77517308926</v>
      </c>
    </row>
    <row r="36" spans="1:6" ht="15.75">
      <c r="A36" s="229" t="s">
        <v>87</v>
      </c>
      <c r="B36" s="230">
        <f>'TÁRIFA '!L50</f>
        <v>0.29922007352233637</v>
      </c>
      <c r="C36" s="231">
        <f t="shared" si="2"/>
        <v>0.04381682885721435</v>
      </c>
      <c r="D36" s="244">
        <f>C36*'TÁRIFA '!$L$62</f>
        <v>0.19437368222194393</v>
      </c>
      <c r="E36" s="232">
        <f>D36*'TÁRIFA '!$L$14</f>
        <v>377060.95455862366</v>
      </c>
      <c r="F36" s="232">
        <f>E36*'TÁRIFA '!$T$16</f>
        <v>4524731.454703484</v>
      </c>
    </row>
    <row r="37" spans="1:6" ht="15.75">
      <c r="A37" s="229" t="s">
        <v>88</v>
      </c>
      <c r="B37" s="230">
        <f>'TÁRIFA '!L51</f>
        <v>0.02447065157871613</v>
      </c>
      <c r="C37" s="231">
        <f t="shared" si="2"/>
        <v>0.0035834038125422975</v>
      </c>
      <c r="D37" s="244">
        <f>C37*'TÁRIFA '!$L$62</f>
        <v>0.015896161636930473</v>
      </c>
      <c r="E37" s="232">
        <f>D37*'TÁRIFA '!$L$14</f>
        <v>30836.59172436309</v>
      </c>
      <c r="F37" s="232">
        <f>E37*'TÁRIFA '!$T$16</f>
        <v>370039.10069235705</v>
      </c>
    </row>
    <row r="38" spans="1:6" ht="15.75">
      <c r="A38" s="229" t="s">
        <v>89</v>
      </c>
      <c r="B38" s="230">
        <f>'TÁRIFA '!L52</f>
        <v>0.01835298868403709</v>
      </c>
      <c r="C38" s="231">
        <f t="shared" si="2"/>
        <v>0.002687552859406722</v>
      </c>
      <c r="D38" s="244">
        <f>C38*'TÁRIFA '!$L$62</f>
        <v>0.011922121227697851</v>
      </c>
      <c r="E38" s="232">
        <f>D38*'TÁRIFA '!$L$14</f>
        <v>23127.443793272312</v>
      </c>
      <c r="F38" s="232">
        <f>E38*'TÁRIFA '!$T$16</f>
        <v>277529.32551926776</v>
      </c>
    </row>
    <row r="39" spans="1:6" ht="15.75">
      <c r="A39" s="248" t="s">
        <v>143</v>
      </c>
      <c r="B39" s="249">
        <f>SUM(B33:B38)</f>
        <v>0.8300720087849868</v>
      </c>
      <c r="C39" s="250">
        <f>SUM(C33:C38)</f>
        <v>0.12155308539278475</v>
      </c>
      <c r="D39" s="251">
        <f>SUM(D33:D38)</f>
        <v>0.5392156714541396</v>
      </c>
      <c r="E39" s="252">
        <f>SUM(E33:E38)</f>
        <v>1046011.8544202457</v>
      </c>
      <c r="F39" s="252">
        <f>SUM(F33:F38)</f>
        <v>12552142.253042948</v>
      </c>
    </row>
    <row r="40" spans="1:6" ht="15.75">
      <c r="A40" s="9"/>
      <c r="B40" s="227"/>
      <c r="C40" s="218"/>
      <c r="D40" s="245"/>
      <c r="E40" s="219"/>
      <c r="F40" s="220"/>
    </row>
    <row r="41" spans="1:6" ht="15.75">
      <c r="A41" s="173" t="s">
        <v>90</v>
      </c>
      <c r="B41" s="227">
        <f>B30+B39</f>
        <v>6.229528278755454</v>
      </c>
      <c r="C41" s="218">
        <f>C39+C30</f>
        <v>0.912232161559939</v>
      </c>
      <c r="D41" s="227">
        <f>D30+D39</f>
        <v>4.046708283283131</v>
      </c>
      <c r="E41" s="254">
        <f>E30+E39</f>
        <v>7850114.638321977</v>
      </c>
      <c r="F41" s="254">
        <f>F30+F39</f>
        <v>94201375.65986373</v>
      </c>
    </row>
    <row r="42" spans="1:6" ht="15.75">
      <c r="A42" s="9"/>
      <c r="B42" s="227" t="s">
        <v>117</v>
      </c>
      <c r="C42" s="218" t="s">
        <v>117</v>
      </c>
      <c r="D42" s="245" t="s">
        <v>117</v>
      </c>
      <c r="E42" s="219"/>
      <c r="F42" s="220"/>
    </row>
    <row r="43" spans="1:6" ht="15.75">
      <c r="A43" s="239" t="s">
        <v>93</v>
      </c>
      <c r="B43" s="235">
        <f>'TÁRIFA '!L56</f>
        <v>0.32692170095622064</v>
      </c>
      <c r="C43" s="236">
        <f>B43/$B$46</f>
        <v>0.04787336642185141</v>
      </c>
      <c r="D43" s="242">
        <f>C43*'TÁRIFA '!$L$62</f>
        <v>0.2123686892563318</v>
      </c>
      <c r="E43" s="237">
        <f>D43*'TÁRIFA '!$L$14</f>
        <v>411969.04732155125</v>
      </c>
      <c r="F43" s="237">
        <f>E43*'TÁRIFA '!$T$16</f>
        <v>4943628.567858615</v>
      </c>
    </row>
    <row r="44" spans="1:6" ht="15.75">
      <c r="A44" s="240" t="s">
        <v>9</v>
      </c>
      <c r="B44" s="235">
        <f>'TÁRIFA '!L57</f>
        <v>0.272434750796851</v>
      </c>
      <c r="C44" s="236">
        <f>B44/$B$46</f>
        <v>0.03989447201820957</v>
      </c>
      <c r="D44" s="242">
        <f>C44*'TÁRIFA '!$L$62</f>
        <v>0.17697390771361013</v>
      </c>
      <c r="E44" s="237">
        <f>D44*'TÁRIFA '!$L$14</f>
        <v>343307.53943462664</v>
      </c>
      <c r="F44" s="237">
        <f>E44*'TÁRIFA '!$T$16</f>
        <v>4119690.4732155195</v>
      </c>
    </row>
    <row r="45" spans="1:6" ht="15.75">
      <c r="A45" s="181"/>
      <c r="B45" s="227" t="s">
        <v>117</v>
      </c>
      <c r="C45" s="222"/>
      <c r="D45" s="245" t="s">
        <v>117</v>
      </c>
      <c r="E45" s="219"/>
      <c r="F45" s="220"/>
    </row>
    <row r="46" spans="1:6" ht="15.75">
      <c r="A46" s="89"/>
      <c r="B46" s="253">
        <f>B41+B43+B44</f>
        <v>6.828884730508525</v>
      </c>
      <c r="C46" s="223">
        <f>C41+C43+C44</f>
        <v>1</v>
      </c>
      <c r="D46" s="245">
        <f>C46*'TÁRIFA '!$L$62</f>
        <v>4.436050880253072</v>
      </c>
      <c r="E46" s="219">
        <f>D46*'TÁRIFA '!$L$14</f>
        <v>8605391.225078154</v>
      </c>
      <c r="F46" s="224">
        <f>F41+F43+F44</f>
        <v>103264694.70093787</v>
      </c>
    </row>
    <row r="47" spans="1:6" ht="12.75">
      <c r="A47" s="5"/>
      <c r="B47" s="216"/>
      <c r="C47" s="5"/>
      <c r="D47" s="216"/>
      <c r="E47" s="5"/>
      <c r="F47" s="5"/>
    </row>
    <row r="48" spans="1:6" ht="12.75">
      <c r="A48" s="5"/>
      <c r="B48" s="216"/>
      <c r="C48" s="5"/>
      <c r="D48" s="216"/>
      <c r="E48" s="5"/>
      <c r="F48" s="5"/>
    </row>
    <row r="49" spans="1:6" ht="12.75">
      <c r="A49" s="5"/>
      <c r="B49" s="216"/>
      <c r="C49" s="5"/>
      <c r="D49" s="216"/>
      <c r="E49" s="5"/>
      <c r="F49" s="5"/>
    </row>
    <row r="50" spans="1:6" ht="12.75">
      <c r="A50" s="5"/>
      <c r="B50" s="216"/>
      <c r="C50" s="5"/>
      <c r="D50" s="216"/>
      <c r="E50" s="5"/>
      <c r="F50" s="5"/>
    </row>
    <row r="51" ht="12">
      <c r="D51" s="273"/>
    </row>
  </sheetData>
  <sheetProtection/>
  <mergeCells count="1">
    <mergeCell ref="B1:F1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6" r:id="rId1"/>
  <headerFooter>
    <oddHeader>&amp;C&amp;A</oddHeader>
    <oddFooter>&amp;CPágina &amp;P de &amp;N</oddFooter>
  </headerFooter>
  <ignoredErrors>
    <ignoredError sqref="C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FUNCIONARIOS</dc:creator>
  <cp:keywords/>
  <dc:description/>
  <cp:lastModifiedBy>User</cp:lastModifiedBy>
  <cp:lastPrinted>2019-07-25T16:38:03Z</cp:lastPrinted>
  <dcterms:created xsi:type="dcterms:W3CDTF">1999-04-07T20:57:43Z</dcterms:created>
  <dcterms:modified xsi:type="dcterms:W3CDTF">2019-09-20T14:09:20Z</dcterms:modified>
  <cp:category/>
  <cp:version/>
  <cp:contentType/>
  <cp:contentStatus/>
</cp:coreProperties>
</file>