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7035" tabRatio="1000" activeTab="2"/>
  </bookViews>
  <sheets>
    <sheet name="KM, PASSAGEIROS E PESSOAL" sheetId="1" r:id="rId1"/>
    <sheet name="FROTA E CUSTOS" sheetId="2" r:id="rId2"/>
    <sheet name="TÁRIFA " sheetId="3" r:id="rId3"/>
    <sheet name="REMUNERAÇÃO" sheetId="4" r:id="rId4"/>
  </sheets>
  <definedNames>
    <definedName name="_xlfn.AVERAGEIF" hidden="1">#NAME?</definedName>
    <definedName name="_xlnm.Print_Area" localSheetId="1">'FROTA E CUSTOS'!$B$2:$O$37</definedName>
    <definedName name="_xlnm.Print_Area" localSheetId="0">'KM, PASSAGEIROS E PESSOAL'!$B$1:$S$26</definedName>
    <definedName name="_xlnm.Print_Area" localSheetId="3">'REMUNERAÇÃO'!$A$1:$F$46</definedName>
    <definedName name="_xlnm.Print_Area" localSheetId="2">'TÁRIFA '!$B$2:$M$63</definedName>
  </definedNames>
  <calcPr fullCalcOnLoad="1"/>
  <pivotCaches>
    <pivotCache cacheId="5" r:id="rId5"/>
  </pivotCaches>
</workbook>
</file>

<file path=xl/comments1.xml><?xml version="1.0" encoding="utf-8"?>
<comments xmlns="http://schemas.openxmlformats.org/spreadsheetml/2006/main">
  <authors>
    <author>Jo???o Ney Mar???a</author>
  </authors>
  <commentList>
    <comment ref="N13" authorId="0">
      <text>
        <r>
          <rPr>
            <sz val="9"/>
            <rFont val="Calibri"/>
            <family val="2"/>
          </rPr>
          <t>1/11</t>
        </r>
      </text>
    </comment>
    <comment ref="Q13" authorId="0">
      <text>
        <r>
          <rPr>
            <sz val="9"/>
            <rFont val="Calibri"/>
            <family val="2"/>
          </rPr>
          <t>1/11</t>
        </r>
      </text>
    </comment>
    <comment ref="N15" authorId="0">
      <text>
        <r>
          <rPr>
            <sz val="9"/>
            <rFont val="Calibri"/>
            <family val="2"/>
          </rPr>
          <t>10% da tripulação estimada</t>
        </r>
      </text>
    </comment>
    <comment ref="Q15" authorId="0">
      <text>
        <r>
          <rPr>
            <sz val="9"/>
            <rFont val="Calibri"/>
            <family val="2"/>
          </rPr>
          <t>10% da tripulação estimada</t>
        </r>
      </text>
    </comment>
    <comment ref="N17" authorId="0">
      <text>
        <r>
          <rPr>
            <sz val="9"/>
            <rFont val="Calibri"/>
            <family val="2"/>
          </rPr>
          <t>5% da Tripulação Total</t>
        </r>
      </text>
    </comment>
    <comment ref="Q17" authorId="0">
      <text>
        <r>
          <rPr>
            <sz val="9"/>
            <rFont val="Calibri"/>
            <family val="2"/>
          </rPr>
          <t>5% da Tripulação Total</t>
        </r>
      </text>
    </comment>
  </commentList>
</comments>
</file>

<file path=xl/comments2.xml><?xml version="1.0" encoding="utf-8"?>
<comments xmlns="http://schemas.openxmlformats.org/spreadsheetml/2006/main">
  <authors>
    <author>CESAR AUGUSTO SCHEMBERGER</author>
  </authors>
  <commentList>
    <comment ref="E5" authorId="0">
      <text>
        <r>
          <rPr>
            <b/>
            <sz val="9"/>
            <rFont val="Tahoma"/>
            <family val="2"/>
          </rPr>
          <t>média ponderada do menor valor veic normal + menor valor veic alongado</t>
        </r>
      </text>
    </comment>
  </commentList>
</comments>
</file>

<file path=xl/comments3.xml><?xml version="1.0" encoding="utf-8"?>
<comments xmlns="http://schemas.openxmlformats.org/spreadsheetml/2006/main">
  <authors>
    <author>IGLENE</author>
  </authors>
  <commentList>
    <comment ref="C21" authorId="0">
      <text>
        <r>
          <rPr>
            <b/>
            <sz val="9"/>
            <rFont val="Tahoma"/>
            <family val="2"/>
          </rPr>
          <t>0,3368 litros / km</t>
        </r>
      </text>
    </comment>
    <comment ref="D21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G21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J21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D22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G22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J22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C22" authorId="0">
      <text>
        <r>
          <rPr>
            <b/>
            <sz val="9"/>
            <rFont val="Tahoma"/>
            <family val="2"/>
          </rPr>
          <t>0,3065 litros / km</t>
        </r>
      </text>
    </comment>
    <comment ref="C23" authorId="0">
      <text>
        <r>
          <rPr>
            <b/>
            <sz val="9"/>
            <rFont val="Tahoma"/>
            <family val="2"/>
          </rPr>
          <t>0,0019 litros / km</t>
        </r>
      </text>
    </comment>
    <comment ref="D23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G23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J23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F21" authorId="0">
      <text>
        <r>
          <rPr>
            <b/>
            <sz val="9"/>
            <rFont val="Tahoma"/>
            <family val="2"/>
          </rPr>
          <t>0,3982 litros / km</t>
        </r>
      </text>
    </comment>
    <comment ref="F22" authorId="0">
      <text>
        <r>
          <rPr>
            <b/>
            <sz val="9"/>
            <rFont val="Tahoma"/>
            <family val="2"/>
          </rPr>
          <t>0,3969 litros / km</t>
        </r>
      </text>
    </comment>
    <comment ref="F23" authorId="0">
      <text>
        <r>
          <rPr>
            <b/>
            <sz val="9"/>
            <rFont val="Tahoma"/>
            <family val="2"/>
          </rPr>
          <t>0,0068 litros / km</t>
        </r>
      </text>
    </comment>
    <comment ref="I21" authorId="0">
      <text>
        <r>
          <rPr>
            <b/>
            <sz val="9"/>
            <rFont val="Tahoma"/>
            <family val="2"/>
          </rPr>
          <t>0,7938 litros / km</t>
        </r>
      </text>
    </comment>
    <comment ref="I22" authorId="0">
      <text>
        <r>
          <rPr>
            <b/>
            <sz val="9"/>
            <rFont val="Tahoma"/>
            <family val="2"/>
          </rPr>
          <t>0,6718 litros / km</t>
        </r>
      </text>
    </comment>
    <comment ref="I23" authorId="0">
      <text>
        <r>
          <rPr>
            <b/>
            <sz val="9"/>
            <rFont val="Tahoma"/>
            <family val="2"/>
          </rPr>
          <t>0,0276 litros / km</t>
        </r>
      </text>
    </comment>
    <comment ref="C24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D24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F24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I24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C25" authorId="0">
      <text>
        <r>
          <rPr>
            <b/>
            <sz val="9"/>
            <rFont val="Tahoma"/>
            <family val="2"/>
          </rPr>
          <t>6 pneus / vida util (105.000 km)</t>
        </r>
      </text>
    </comment>
    <comment ref="F25" authorId="0">
      <text>
        <r>
          <rPr>
            <b/>
            <sz val="9"/>
            <rFont val="Tahoma"/>
            <family val="2"/>
          </rPr>
          <t>6 pneus / vida util (105.000 km)</t>
        </r>
      </text>
    </comment>
    <comment ref="I26" authorId="0">
      <text>
        <r>
          <rPr>
            <b/>
            <sz val="9"/>
            <rFont val="Tahoma"/>
            <family val="2"/>
          </rPr>
          <t>10 pneus / vida util (105.000 km)</t>
        </r>
      </text>
    </comment>
    <comment ref="D25" authorId="0">
      <text>
        <r>
          <rPr>
            <b/>
            <sz val="9"/>
            <rFont val="Tahoma"/>
            <family val="2"/>
          </rPr>
          <t>Preço do pneu:
PNEU 275/80 (Midi e Conv)</t>
        </r>
      </text>
    </comment>
    <comment ref="G25" authorId="0">
      <text>
        <r>
          <rPr>
            <b/>
            <sz val="9"/>
            <rFont val="Tahoma"/>
            <family val="2"/>
          </rPr>
          <t>Preço do pneu:
PNEU 275/80 (Midi e Conv)</t>
        </r>
      </text>
    </comment>
    <comment ref="J26" authorId="0">
      <text>
        <r>
          <rPr>
            <b/>
            <sz val="9"/>
            <rFont val="Tahoma"/>
            <family val="2"/>
          </rPr>
          <t>Preço do pneu:
PNEU 295/80 (Articulado)</t>
        </r>
      </text>
    </comment>
    <comment ref="C27" authorId="0">
      <text>
        <r>
          <rPr>
            <b/>
            <sz val="9"/>
            <rFont val="Tahoma"/>
            <family val="2"/>
          </rPr>
          <t>2,5 recapagens x 6 pneus / vida util (105.000 km)</t>
        </r>
      </text>
    </comment>
    <comment ref="F27" authorId="0">
      <text>
        <r>
          <rPr>
            <b/>
            <sz val="9"/>
            <rFont val="Tahoma"/>
            <family val="2"/>
          </rPr>
          <t>2,5 recapagens x 6 pneus / vida util (105.000 km)</t>
        </r>
      </text>
    </comment>
    <comment ref="I28" authorId="0">
      <text>
        <r>
          <rPr>
            <b/>
            <sz val="9"/>
            <rFont val="Tahoma"/>
            <family val="2"/>
          </rPr>
          <t>2,5 recapagens x 10 pneus / vida util (105.000 km)</t>
        </r>
      </text>
    </comment>
    <comment ref="D27" authorId="0">
      <text>
        <r>
          <rPr>
            <b/>
            <sz val="9"/>
            <rFont val="Tahoma"/>
            <family val="2"/>
          </rPr>
          <t>Preço da recapagem do pneu:
PNEU 275/80 (Midi e Conv)</t>
        </r>
      </text>
    </comment>
    <comment ref="G27" authorId="0">
      <text>
        <r>
          <rPr>
            <b/>
            <sz val="9"/>
            <rFont val="Tahoma"/>
            <family val="2"/>
          </rPr>
          <t>Preço da recapagem do pneu:
PNEU 275/80 (Midi e Conv)</t>
        </r>
      </text>
    </comment>
    <comment ref="J28" authorId="0">
      <text>
        <r>
          <rPr>
            <b/>
            <sz val="9"/>
            <rFont val="Tahoma"/>
            <family val="2"/>
          </rPr>
          <t>Preço da recapagem do pneu:
PNEU 295/80 (Articulado)</t>
        </r>
      </text>
    </comment>
    <comment ref="C31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F31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I31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D31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31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31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D32" authorId="0">
      <text>
        <r>
          <rPr>
            <b/>
            <sz val="9"/>
            <rFont val="Tahoma"/>
            <family val="2"/>
          </rPr>
          <t>Salário de motorista JR</t>
        </r>
      </text>
    </comment>
    <comment ref="G32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32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33" authorId="0">
      <text>
        <r>
          <rPr>
            <b/>
            <sz val="9"/>
            <rFont val="Tahoma"/>
            <family val="2"/>
          </rPr>
          <t>Salário de cobrador</t>
        </r>
      </text>
    </comment>
    <comment ref="J33" authorId="0">
      <text>
        <r>
          <rPr>
            <b/>
            <sz val="9"/>
            <rFont val="Tahoma"/>
            <family val="2"/>
          </rPr>
          <t>Salário de cobrador</t>
        </r>
      </text>
    </comment>
    <comment ref="C32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F32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I32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F33" authorId="0">
      <text>
        <r>
          <rPr>
            <b/>
            <sz val="9"/>
            <rFont val="Tahoma"/>
            <family val="2"/>
          </rPr>
          <t>Fator utilização cobrador</t>
        </r>
      </text>
    </comment>
    <comment ref="I33" authorId="0">
      <text>
        <r>
          <rPr>
            <b/>
            <sz val="9"/>
            <rFont val="Tahoma"/>
            <family val="2"/>
          </rPr>
          <t>Fator utilização cobrador</t>
        </r>
      </text>
    </comment>
    <comment ref="D34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34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34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C34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F34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I34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E32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H32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K32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E34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H34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K34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C35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F35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I35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D35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G35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J35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D36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G36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J36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C36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E37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H37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K37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D38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G38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J38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D39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G39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J39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C41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F41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I41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D41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G41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J41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C42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F42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I42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D42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2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2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C43" authorId="0">
      <text>
        <r>
          <rPr>
            <b/>
            <sz val="9"/>
            <rFont val="Tahoma"/>
            <family val="2"/>
          </rPr>
          <t>0,3778 do salário de motorista</t>
        </r>
      </text>
    </comment>
    <comment ref="F43" authorId="0">
      <text>
        <r>
          <rPr>
            <b/>
            <sz val="9"/>
            <rFont val="Tahoma"/>
            <family val="2"/>
          </rPr>
          <t>0,3778 do salário de motorista</t>
        </r>
      </text>
    </comment>
    <comment ref="I43" authorId="0">
      <text>
        <r>
          <rPr>
            <b/>
            <sz val="9"/>
            <rFont val="Tahoma"/>
            <family val="2"/>
          </rPr>
          <t>0,3778 do salário de motorista</t>
        </r>
      </text>
    </comment>
    <comment ref="D43" authorId="0">
      <text>
        <r>
          <rPr>
            <b/>
            <sz val="9"/>
            <rFont val="Tahoma"/>
            <family val="2"/>
          </rPr>
          <t>Salário de motorista JR</t>
        </r>
      </text>
    </comment>
    <comment ref="G43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43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C48" authorId="0">
      <text>
        <r>
          <rPr>
            <b/>
            <sz val="9"/>
            <rFont val="Tahoma"/>
            <family val="2"/>
          </rPr>
          <t>10 anos = 120 meses</t>
        </r>
      </text>
    </comment>
    <comment ref="F48" authorId="0">
      <text>
        <r>
          <rPr>
            <b/>
            <sz val="9"/>
            <rFont val="Tahoma"/>
            <family val="2"/>
          </rPr>
          <t>10 anos = 120 meses</t>
        </r>
      </text>
    </comment>
    <comment ref="I48" authorId="0">
      <text>
        <r>
          <rPr>
            <b/>
            <sz val="9"/>
            <rFont val="Tahoma"/>
            <family val="2"/>
          </rPr>
          <t>10 anos = 120 meses</t>
        </r>
      </text>
    </comment>
    <comment ref="D5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5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5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52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53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52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53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52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53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48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48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48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D51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51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51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C52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F52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I52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C53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F53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I53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C50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F50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I50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C51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F51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I51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L57" authorId="0">
      <text>
        <r>
          <rPr>
            <b/>
            <sz val="9"/>
            <rFont val="Tahoma"/>
            <family val="2"/>
          </rPr>
          <t>margem operador 5%</t>
        </r>
      </text>
    </comment>
    <comment ref="L61" authorId="0">
      <text>
        <r>
          <rPr>
            <b/>
            <sz val="9"/>
            <rFont val="Tahoma"/>
            <family val="2"/>
          </rPr>
          <t>número de passageiros / número de km</t>
        </r>
      </text>
    </comment>
    <comment ref="L15" authorId="0">
      <text>
        <r>
          <rPr>
            <b/>
            <sz val="9"/>
            <rFont val="Tahoma"/>
            <family val="2"/>
          </rPr>
          <t>Demanda média equivalente</t>
        </r>
      </text>
    </comment>
    <comment ref="G24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J24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C37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F36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I36" authorId="0">
      <text>
        <r>
          <rPr>
            <b/>
            <sz val="9"/>
            <rFont val="Tahoma"/>
            <family val="2"/>
          </rPr>
          <t>Fator utilização concessionária</t>
        </r>
      </text>
    </comment>
  </commentList>
</comments>
</file>

<file path=xl/sharedStrings.xml><?xml version="1.0" encoding="utf-8"?>
<sst xmlns="http://schemas.openxmlformats.org/spreadsheetml/2006/main" count="404" uniqueCount="272">
  <si>
    <t>Lubrificantes</t>
  </si>
  <si>
    <t>Frota Operante</t>
  </si>
  <si>
    <t>% TOTAL</t>
  </si>
  <si>
    <t>Peças e Acessórios</t>
  </si>
  <si>
    <t>- Motoristas</t>
  </si>
  <si>
    <t>- Cobradores</t>
  </si>
  <si>
    <t>Pessoal Manutenção</t>
  </si>
  <si>
    <t>Uniformes</t>
  </si>
  <si>
    <t>Despesas c/Terminais</t>
  </si>
  <si>
    <t>Custo com Tributos</t>
  </si>
  <si>
    <t>Despesas Gerais</t>
  </si>
  <si>
    <t>Remuneração Diretoria</t>
  </si>
  <si>
    <t>Pessoal Administrativo</t>
  </si>
  <si>
    <t>Total horas DU</t>
  </si>
  <si>
    <t>Total horas SAB</t>
  </si>
  <si>
    <t>Total horas DOM</t>
  </si>
  <si>
    <t>Tripulação DU</t>
  </si>
  <si>
    <t>Tripulação SAB</t>
  </si>
  <si>
    <t>Tripulação Dom</t>
  </si>
  <si>
    <t>Tripulação Semanal</t>
  </si>
  <si>
    <t>Tripulação Estimada</t>
  </si>
  <si>
    <t>Total Geral</t>
  </si>
  <si>
    <t>TOTAL</t>
  </si>
  <si>
    <t>MÉDIA MENSAL</t>
  </si>
  <si>
    <t>INDICES OPERACIONAIS</t>
  </si>
  <si>
    <t>MICRO</t>
  </si>
  <si>
    <t>ARTICULADO</t>
  </si>
  <si>
    <t>SISTEMA</t>
  </si>
  <si>
    <t>COMPONENTES</t>
  </si>
  <si>
    <t>DIAS ÚTEIS</t>
  </si>
  <si>
    <t>SÁBADOS</t>
  </si>
  <si>
    <t>DOMINGOS</t>
  </si>
  <si>
    <t>MIDI</t>
  </si>
  <si>
    <t>CONVENC</t>
  </si>
  <si>
    <t>KM PERCORRIDA/DIA</t>
  </si>
  <si>
    <t>KM PERCORRIDA NO PERÍODO</t>
  </si>
  <si>
    <t>TOTAL MÉDIO MENSAL</t>
  </si>
  <si>
    <t>Média mensal</t>
  </si>
  <si>
    <t>PASSAGEIROS EQUIVALENTES TRANSPORTADOS</t>
  </si>
  <si>
    <t>PREÇOS MÉDIOS (conforme modelo de chassi e carroceria)</t>
  </si>
  <si>
    <t>CHASSI</t>
  </si>
  <si>
    <t>TOTAL VEÍCULO</t>
  </si>
  <si>
    <t>CUSTO PNEUS</t>
  </si>
  <si>
    <t>VEÍCULO S/PNEUS</t>
  </si>
  <si>
    <t>CONVENCIONAL</t>
  </si>
  <si>
    <t>ANO</t>
  </si>
  <si>
    <t>TOTAL FROTA</t>
  </si>
  <si>
    <t>IDADE MÉDIA</t>
  </si>
  <si>
    <t>Vale Alimentação</t>
  </si>
  <si>
    <t>DOMINGOS E FERIADOS</t>
  </si>
  <si>
    <t>MÊS</t>
  </si>
  <si>
    <t>T0TAL</t>
  </si>
  <si>
    <t>MOTORISTAS</t>
  </si>
  <si>
    <t>COBRADORES</t>
  </si>
  <si>
    <t>FATOR DE UTILIZAÇÃO</t>
  </si>
  <si>
    <t>Domingos (folgas)</t>
  </si>
  <si>
    <t>Tripulação Total</t>
  </si>
  <si>
    <t>+ Feristas</t>
  </si>
  <si>
    <t>+ Quebra de Escala</t>
  </si>
  <si>
    <t>+ Plantão/Reserva</t>
  </si>
  <si>
    <t>Frota operante</t>
  </si>
  <si>
    <t>- Pneu 275/80</t>
  </si>
  <si>
    <t>- Pneu 295/80</t>
  </si>
  <si>
    <t>- Recapagem 275/80</t>
  </si>
  <si>
    <t>- Recapagem 295/80</t>
  </si>
  <si>
    <t>- Supervisão</t>
  </si>
  <si>
    <t>ISS</t>
  </si>
  <si>
    <t>INSS</t>
  </si>
  <si>
    <t>IPK</t>
  </si>
  <si>
    <t>FROTA TOTAL</t>
  </si>
  <si>
    <t>FROTA OPERANTE</t>
  </si>
  <si>
    <t>KM MENSAL PROGRAMADA</t>
  </si>
  <si>
    <t>PMM FROTA OPERANTE</t>
  </si>
  <si>
    <t>PMM FROTA TOTAL</t>
  </si>
  <si>
    <t>DEMANDA EQUIVALENTE</t>
  </si>
  <si>
    <t>CUSTO PONDERADO</t>
  </si>
  <si>
    <t>PARÂMETROS</t>
  </si>
  <si>
    <t>PREÇOS</t>
  </si>
  <si>
    <t>CUSTO/KM</t>
  </si>
  <si>
    <t>R$/KM</t>
  </si>
  <si>
    <t>Seguros (Obrigat + Terceiros)</t>
  </si>
  <si>
    <t>Fundo Assitencial Sindicato</t>
  </si>
  <si>
    <t>A) CUSTOS VARIÁVEIS</t>
  </si>
  <si>
    <t>B) CUSTOS FIXOS</t>
  </si>
  <si>
    <t>Depreciação Maq, Inst e Equip</t>
  </si>
  <si>
    <t>Depreciação Veículos</t>
  </si>
  <si>
    <t>Remuneração Veículos</t>
  </si>
  <si>
    <t>Remuneração Maq, Inst e Equip</t>
  </si>
  <si>
    <t>Remuneração Almoxarifado</t>
  </si>
  <si>
    <t>CUSTOS DA OPERAÇÃO (C+D)</t>
  </si>
  <si>
    <t>C) CUSTO OPERACIONAL (A+B)</t>
  </si>
  <si>
    <t>D) CUSTO DE CAPITAL</t>
  </si>
  <si>
    <t>Margem do Operador (5%)</t>
  </si>
  <si>
    <t>TARIFA MÉDIA RESULTANTE</t>
  </si>
  <si>
    <t>MOTORISTA PLENO</t>
  </si>
  <si>
    <t>MOTORISTA JUNIOR</t>
  </si>
  <si>
    <t>SEGUROS</t>
  </si>
  <si>
    <t>CARROS SEGURADOS</t>
  </si>
  <si>
    <t>VALOR A CONSIDERAR</t>
  </si>
  <si>
    <t>PNEUS E RECAPAGENS</t>
  </si>
  <si>
    <t>PNEU 275/80 (Midi e Conv)</t>
  </si>
  <si>
    <t>PNEU 295/80 (Articulado)</t>
  </si>
  <si>
    <t>RECAPAGEM 275/80</t>
  </si>
  <si>
    <t>RECAPAGEM 295/80</t>
  </si>
  <si>
    <t>DESPESAS COM TERMINAIS</t>
  </si>
  <si>
    <t>TERMINAL CENTRAL</t>
  </si>
  <si>
    <t>PIS/COFINS</t>
  </si>
  <si>
    <t>CUSTO TOTAL COM TRIBUTOS</t>
  </si>
  <si>
    <t>ENCARGOS SOCIAIS</t>
  </si>
  <si>
    <t>VALOR ATUAL APÓS DISSÍDIO</t>
  </si>
  <si>
    <t>VALOR LANÇADO NO CÁLCULO</t>
  </si>
  <si>
    <t>TERMINAL UVARANAS</t>
  </si>
  <si>
    <t>TERMINAL OFICINAS</t>
  </si>
  <si>
    <t>TERMINAL NOVA RÚSSIA</t>
  </si>
  <si>
    <t>DPVAT POR VEÍCULO</t>
  </si>
  <si>
    <t>SEGURO CONTRA TERCEIROS</t>
  </si>
  <si>
    <t xml:space="preserve"> </t>
  </si>
  <si>
    <t>CUSTO POR LITRO COM ICMS</t>
  </si>
  <si>
    <t xml:space="preserve">COMPOSIÇÃO DO CUSTO DO DIESEL S10 </t>
  </si>
  <si>
    <t xml:space="preserve">ARLA 32 </t>
  </si>
  <si>
    <t>KM MENSAL S500</t>
  </si>
  <si>
    <t>KM MENSAL S10</t>
  </si>
  <si>
    <t>PORCENTAGEM / KM</t>
  </si>
  <si>
    <t>S10</t>
  </si>
  <si>
    <t>S500</t>
  </si>
  <si>
    <t>COMUM</t>
  </si>
  <si>
    <t>MID BUS</t>
  </si>
  <si>
    <t>COMPOSIÇÃO KM /TIPO DE COMBUSTIVEL - % CATEGORIA</t>
  </si>
  <si>
    <t>Combustível S500</t>
  </si>
  <si>
    <t>Combustível S10</t>
  </si>
  <si>
    <t>Arla</t>
  </si>
  <si>
    <t>Combustível s500</t>
  </si>
  <si>
    <t>Combustível s10</t>
  </si>
  <si>
    <t>R$/tarifa</t>
  </si>
  <si>
    <t>Remuneração Mês</t>
  </si>
  <si>
    <t>Remuneração Ano</t>
  </si>
  <si>
    <t>Custo KM</t>
  </si>
  <si>
    <t xml:space="preserve">% </t>
  </si>
  <si>
    <t>Subtotal A)</t>
  </si>
  <si>
    <t>Subtotal B)</t>
  </si>
  <si>
    <t>Subtotal D)</t>
  </si>
  <si>
    <t>ADEQUAÇÕES BANHEIROS</t>
  </si>
  <si>
    <t>TIPO</t>
  </si>
  <si>
    <t>(vazio)</t>
  </si>
  <si>
    <t>Total</t>
  </si>
  <si>
    <t xml:space="preserve">DISTRIBUIÇÃO DA FROTA </t>
  </si>
  <si>
    <t>Frota Reserv.</t>
  </si>
  <si>
    <t>REMUNERAÇÃO 2019</t>
  </si>
  <si>
    <t>Deprecição veículos 11 anos</t>
  </si>
  <si>
    <t>PMM FROTA TOTAL 10 ANOS</t>
  </si>
  <si>
    <t>Depreciação Veículos 11 ANOS</t>
  </si>
  <si>
    <t>CUSTO POR LITRO SEM ICMS</t>
  </si>
  <si>
    <t>CUSTO POR LITRO com ICMS</t>
  </si>
  <si>
    <t>Cargo</t>
  </si>
  <si>
    <t>Almoxarife Junior/44 01530003</t>
  </si>
  <si>
    <t>Almoxarife Pleno/.</t>
  </si>
  <si>
    <t>Almoxarife Senior/44 01510004</t>
  </si>
  <si>
    <t>Analista de Apoio/44 03060001</t>
  </si>
  <si>
    <t>Analista de R. H./44 00910001</t>
  </si>
  <si>
    <t>Analista de Treinam. e Desenvolvimento/44 03100004</t>
  </si>
  <si>
    <t>Analista Financeiro Contábil Pleno/44 002</t>
  </si>
  <si>
    <t>Arrecadador Junior/44 00380001</t>
  </si>
  <si>
    <t>Arrecadador Junior/44 00380002</t>
  </si>
  <si>
    <t>Arrecadador Pleno/44 00200001</t>
  </si>
  <si>
    <t>Assistente Contábil/44 00060002</t>
  </si>
  <si>
    <t>Assistente de P.C.M. Junior/44 01620004</t>
  </si>
  <si>
    <t>Assistente de PCM Senior/44 01730001</t>
  </si>
  <si>
    <t>Atendente Comercial Junior/44 03000003</t>
  </si>
  <si>
    <t>Atendente Comercial Pleno/44 03010003</t>
  </si>
  <si>
    <t>Auditor (a) de Tráfego Junior/44 03170002</t>
  </si>
  <si>
    <t>Auditor (a) de Tráfego Senior/44 03160001</t>
  </si>
  <si>
    <t>Aux. Adm. Aprendiz/44 01080001</t>
  </si>
  <si>
    <t>Aux. Administrativo/44 02410003</t>
  </si>
  <si>
    <t>Aux. de Serv. Gerais/44 01270002</t>
  </si>
  <si>
    <t>Auxiliar Financeiro/44 00120002</t>
  </si>
  <si>
    <t>Borracheiro Junior/44 01170001</t>
  </si>
  <si>
    <t>Borracheiro Pleno/44 01180001</t>
  </si>
  <si>
    <t>Borracheiro Pleno/44 01180005</t>
  </si>
  <si>
    <t>Borracheiro Senior/44 01190001</t>
  </si>
  <si>
    <t>Chefe de Oficina/44 02700001</t>
  </si>
  <si>
    <t>Comprador(a)/44 00950002</t>
  </si>
  <si>
    <t>Contador/44 00050001</t>
  </si>
  <si>
    <t>Controlador de C.C.O Júnior/44 02570001</t>
  </si>
  <si>
    <t>Controlador de C.C.O. Pleno/44 02570003</t>
  </si>
  <si>
    <t>Coordenador de Trafego Junior/44 00490001</t>
  </si>
  <si>
    <t>Coordenador de Tráfego Pleno/44 00890001</t>
  </si>
  <si>
    <t>Eletricista Pleno/44 00750002</t>
  </si>
  <si>
    <t>Eletricista Senior/44 01330001</t>
  </si>
  <si>
    <t>Encarregado de P.C.M. e Logistica/44 02800001</t>
  </si>
  <si>
    <t>Eng. de Seg. do Trabalho/44 00230001</t>
  </si>
  <si>
    <t>Gerente de Manutenção/44 06000001</t>
  </si>
  <si>
    <t>Gerente de Recursos Humanos/44 00130003</t>
  </si>
  <si>
    <t>Gerente de Trafego/44 04000001</t>
  </si>
  <si>
    <t>Instrutor de Motoristas/44 02550001</t>
  </si>
  <si>
    <t>Latoeiro Pleno/44 00770001</t>
  </si>
  <si>
    <t>Latoeiro Sênior/44 01350001</t>
  </si>
  <si>
    <t>Lavador de Veículos Lider/44 01290001</t>
  </si>
  <si>
    <t>Lavador de Veiculos/44 00680001</t>
  </si>
  <si>
    <t>Líder de Manutenção Predial/Nível I</t>
  </si>
  <si>
    <t>Lubrificador / Abastecedor Junior/44 00720001</t>
  </si>
  <si>
    <t>Lubrificador / Abastecedor Pleno/44 00710001</t>
  </si>
  <si>
    <t>Manobrista/44 01600001</t>
  </si>
  <si>
    <t>Mec. Ajustador Motor/44 00740003</t>
  </si>
  <si>
    <t>Mecânico de Salão Junior/44 00810011</t>
  </si>
  <si>
    <t>Mecânico de Salão Pleno/44 00540002</t>
  </si>
  <si>
    <t>Mecânico de Salão Senior/44 00550003</t>
  </si>
  <si>
    <t>Médico do Trabalho/44 00240003</t>
  </si>
  <si>
    <t>Mensageiro/44 00340001</t>
  </si>
  <si>
    <t>Motorista Junior/.</t>
  </si>
  <si>
    <t>Motorista Pleno/.</t>
  </si>
  <si>
    <t>Pintor Pleno/44 01110001</t>
  </si>
  <si>
    <t>Recepcionista de Portaria/44 03300002</t>
  </si>
  <si>
    <t>Recepcionista de veículos/44 01650002</t>
  </si>
  <si>
    <t>Supervisor (a) Comercial/44 02480004</t>
  </si>
  <si>
    <t>Supervisor de Almoxarifado/44 00940001</t>
  </si>
  <si>
    <t>Supervisor de Arrecadação/44 00190001</t>
  </si>
  <si>
    <t>Supervisor de Lataria/44 01370001</t>
  </si>
  <si>
    <t>Supervisor de Manutenção/44 00880004</t>
  </si>
  <si>
    <t>Supervisor de Oficina Pleno/44 00610007</t>
  </si>
  <si>
    <t>Téc em Enfer. do Trabalho/44 03180001</t>
  </si>
  <si>
    <t>Téc. de Segurança do Trabalho Junior/44 00260002</t>
  </si>
  <si>
    <t>Téc. de Segurança do Trabalho Junior/44 00260005</t>
  </si>
  <si>
    <t>Téc. de Segurança do Trabalho Junior/44 00260006</t>
  </si>
  <si>
    <t>Téc. de Segurança do Trabalho Pleno/44 00430002</t>
  </si>
  <si>
    <t>Téc. de Segurança do Trabalho Senior/44 00460001</t>
  </si>
  <si>
    <t>Telefonista/44 00220001</t>
  </si>
  <si>
    <t>Torneiro Mecânico/44 01640002</t>
  </si>
  <si>
    <t>Trocador (a)/44 0031 003 Reabilitado Pl</t>
  </si>
  <si>
    <t>Trocador (a)/44 00310001</t>
  </si>
  <si>
    <t>Trocador (a)/44 00310002</t>
  </si>
  <si>
    <t>Trocador (a)/44 00310004 Reabilitado Jr</t>
  </si>
  <si>
    <t>Zelador(a)/44 00390002</t>
  </si>
  <si>
    <t>RELAÇÃO DA FOLHA DE PAGAMENTO</t>
  </si>
  <si>
    <t>FROTA OPERANTE E FROTA RESERVA</t>
  </si>
  <si>
    <t>FROTA POR TIPO DE COMBUSTIVEL</t>
  </si>
  <si>
    <t xml:space="preserve">                                                                                    </t>
  </si>
  <si>
    <t>2021/2022</t>
  </si>
  <si>
    <t>FATORES DE UTILIZAÇÃO DE MOTORISTAS E COBRADORES 2022 - versao 100.89</t>
  </si>
  <si>
    <t>FUNDO ASSISTENCIAL SINDICATO 2022</t>
  </si>
  <si>
    <t>VALE ALIMENTAÇÃO DATA BASE/2022</t>
  </si>
  <si>
    <t>COMPOSIÇÃO DO CUSTO DO DIESEL S500 * não utilizado</t>
  </si>
  <si>
    <t>km</t>
  </si>
  <si>
    <t>58698 gratuidades</t>
  </si>
  <si>
    <t>60865 gratuidades</t>
  </si>
  <si>
    <t>17/04 MP</t>
  </si>
  <si>
    <t>08/05 MP</t>
  </si>
  <si>
    <t>14/08 MP</t>
  </si>
  <si>
    <t>67194 gratuidades / 02/11 MP</t>
  </si>
  <si>
    <t>69103 gratuidades / 25/12 MP</t>
  </si>
  <si>
    <t>ok 19-09-2022</t>
  </si>
  <si>
    <t>ok</t>
  </si>
  <si>
    <t>Quilometragem Diária Considerada - ATUAL - 101.37</t>
  </si>
  <si>
    <t>CARROCERIA</t>
  </si>
  <si>
    <t>nf setembro</t>
  </si>
  <si>
    <t>SMIP -  PLANILHA DE  CUSTOS  DO SISTEMA DE TRANSPORTE PÚBLICO DE PONTA GROSSA  - Setembro/2022</t>
  </si>
  <si>
    <t>60289 gratuidades / 23.319</t>
  </si>
  <si>
    <t>,</t>
  </si>
  <si>
    <t>SALÁRIOS DATA BASE 2022</t>
  </si>
  <si>
    <t>idosos 65+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</si>
  <si>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</si>
  <si>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</si>
  <si>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</si>
  <si>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</si>
  <si>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</si>
  <si>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</si>
  <si>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</si>
  <si>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</si>
  <si>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total</t>
  </si>
  <si>
    <t>recurso</t>
  </si>
  <si>
    <t>media com equivalentes idosos 65+</t>
  </si>
  <si>
    <t>carros acima de 10 anos</t>
  </si>
  <si>
    <t>PMM acima 10 anos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</si>
</sst>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r$&quot;* #,##0_);_(&quot;Cr$&quot;* \(#,##0\);_(&quot;Cr$&quot;* &quot;-&quot;_);_(@_)"/>
    <numFmt numFmtId="167" formatCode="_(&quot;Cr$&quot;* #,##0.00_);_(&quot;Cr$&quot;* \(#,##0.00\);_(&quot;Cr$&quot;* &quot;-&quot;??_);_(@_)"/>
    <numFmt numFmtId="168" formatCode="#,##0.0000_);\(#,##0.0000\)"/>
    <numFmt numFmtId="169" formatCode="_(* #,##0_);_(* \(#,##0\);_(* &quot;-&quot;??_);_(@_)"/>
    <numFmt numFmtId="170" formatCode="0.0000"/>
    <numFmt numFmtId="171" formatCode="_(* #,##0.0000_);_(* \(#,##0.0000\);_(* &quot;-&quot;??_);_(@_)"/>
    <numFmt numFmtId="172" formatCode="_(* #,##0.00000_);_(* \(#,##0.00000\);_(* &quot;-&quot;??_);_(@_)"/>
    <numFmt numFmtId="173" formatCode="[h]:mm:ss;@"/>
    <numFmt numFmtId="174" formatCode="#,##0.00000_);\(#,##0.00000\)"/>
    <numFmt numFmtId="175" formatCode="_(* #,##0.0000000_);_(* \(#,##0.0000000\);_(* &quot;-&quot;??_);_(@_)"/>
    <numFmt numFmtId="176" formatCode="#,##0.0000;\-#,##0.0000"/>
    <numFmt numFmtId="177" formatCode="#,##0.0000"/>
    <numFmt numFmtId="178" formatCode="_-[$R$-416]\ * #,##0.00_-;\-[$R$-416]\ * #,##0.00_-;_-[$R$-416]\ * &quot;-&quot;??_-;_-@_-"/>
    <numFmt numFmtId="179" formatCode="0.000%"/>
    <numFmt numFmtId="180" formatCode="0.0000%"/>
    <numFmt numFmtId="181" formatCode="[$-416]mmm\-yy;@"/>
    <numFmt numFmtId="182" formatCode="#,##0.000;\-#,##0.000"/>
    <numFmt numFmtId="183" formatCode="#,##0.0000_ ;\-#,##0.0000\ "/>
    <numFmt numFmtId="184" formatCode="_-* #,##0_-;\-* #,##0_-;_-* &quot;-&quot;??_-;_-@_-"/>
    <numFmt numFmtId="185" formatCode="_-* #,##0.0000_-;\-* #,##0.0000_-;_-* &quot;-&quot;????_-;_-@_-"/>
    <numFmt numFmtId="186" formatCode="#,##0.00_ ;\-#,##0.00\ "/>
    <numFmt numFmtId="187" formatCode="#,##0.0;\-#,##0.0"/>
    <numFmt numFmtId="188" formatCode="&quot;Sim&quot;;&quot;Sim&quot;;&quot;Não&quot;"/>
    <numFmt numFmtId="189" formatCode="&quot;Verdadeiro&quot;;&quot;Verdadeiro&quot;;&quot;Falso&quot;"/>
    <numFmt numFmtId="190" formatCode="&quot;Ativado&quot;;&quot;Ativado&quot;;&quot;Desativado&quot;"/>
    <numFmt numFmtId="191" formatCode="[$€-2]\ #,##0.00_);[Red]\([$€-2]\ #,##0.00\)"/>
    <numFmt numFmtId="192" formatCode="0.0%"/>
    <numFmt numFmtId="193" formatCode="[$-416]dddd\,\ d&quot; de &quot;mmmm&quot; de &quot;yyyy"/>
    <numFmt numFmtId="194" formatCode="mmm/yyyy"/>
    <numFmt numFmtId="195" formatCode="#,##0_ ;\-#,##0\ "/>
    <numFmt numFmtId="196" formatCode="[$-416]d\-mmm;@"/>
    <numFmt numFmtId="197" formatCode="_(* #,##0.000_);_(* \(#,##0.000\);_(* &quot;-&quot;??_);_(@_)"/>
    <numFmt numFmtId="198" formatCode="_(* #,##0.0_);_(* \(#,##0.0\);_(* &quot;-&quot;??_);_(@_)"/>
    <numFmt numFmtId="199" formatCode="0_ ;\-0\ "/>
    <numFmt numFmtId="200" formatCode="#,##0_);\(#,##0\)"/>
    <numFmt numFmtId="201" formatCode="#,##0.000"/>
    <numFmt numFmtId="202" formatCode="#,##0.0"/>
    <numFmt numFmtId="203" formatCode="_(* #,##0.000000_);_(* \(#,##0.000000\);_(* &quot;-&quot;??_);_(@_)"/>
    <numFmt numFmtId="204" formatCode="#,##0.00000"/>
    <numFmt numFmtId="205" formatCode="_-* #,##0.000000_-;\-* #,##0.000000_-;_-* &quot;-&quot;??????_-;_-@_-"/>
    <numFmt numFmtId="206" formatCode="_-[$R$-416]\ * #,##0.000_-;\-[$R$-416]\ * #,##0.000_-;_-[$R$-416]\ * &quot;-&quot;??_-;_-@_-"/>
    <numFmt numFmtId="207" formatCode="_-[$R$-416]\ * #,##0.0000_-;\-[$R$-416]\ * #,##0.0000_-;_-[$R$-416]\ * &quot;-&quot;??_-;_-@_-"/>
    <numFmt numFmtId="208" formatCode="_-[$R$-416]\ * #,##0.0000_-;\-[$R$-416]\ * #,##0.0000_-;_-[$R$-416]\ * &quot;-&quot;????_-;_-@_-"/>
    <numFmt numFmtId="209" formatCode="_-[$R$-416]\ * #,##0.0_-;\-[$R$-416]\ * #,##0.0_-;_-[$R$-416]\ * &quot;-&quot;??_-;_-@_-"/>
    <numFmt numFmtId="210" formatCode="_-[$R$-416]\ * #,##0_-;\-[$R$-416]\ * #,##0_-;_-[$R$-416]\ * &quot;-&quot;??_-;_-@_-"/>
  </numFmts>
  <fonts count="95">
    <font>
      <sz val="10"/>
      <name val="Courier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9"/>
      <name val="Calibri"/>
      <family val="2"/>
    </font>
    <font>
      <b/>
      <sz val="9"/>
      <name val="Tahoma"/>
      <family val="2"/>
    </font>
    <font>
      <b/>
      <sz val="10"/>
      <name val="Courier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4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0"/>
      <color indexed="8"/>
      <name val="Courier"/>
      <family val="3"/>
    </font>
    <font>
      <b/>
      <sz val="8"/>
      <color indexed="8"/>
      <name val="Calibri"/>
      <family val="2"/>
    </font>
    <font>
      <sz val="14"/>
      <color indexed="10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ourier"/>
      <family val="3"/>
    </font>
    <font>
      <b/>
      <sz val="10"/>
      <color indexed="8"/>
      <name val="Times New Roman"/>
      <family val="1"/>
    </font>
    <font>
      <b/>
      <sz val="10"/>
      <color indexed="10"/>
      <name val="Calibri"/>
      <family val="2"/>
    </font>
    <font>
      <sz val="10"/>
      <color indexed="10"/>
      <name val="Courier"/>
      <family val="3"/>
    </font>
    <font>
      <sz val="10"/>
      <color indexed="10"/>
      <name val="Arial"/>
      <family val="2"/>
    </font>
    <font>
      <sz val="8"/>
      <color indexed="10"/>
      <name val="Calibri"/>
      <family val="2"/>
    </font>
    <font>
      <sz val="9"/>
      <color indexed="30"/>
      <name val="Calibri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ourier"/>
      <family val="3"/>
    </font>
    <font>
      <b/>
      <sz val="10"/>
      <color theme="1"/>
      <name val="Times New Roman"/>
      <family val="1"/>
    </font>
    <font>
      <b/>
      <sz val="10"/>
      <color rgb="FFFF0000"/>
      <name val="Calibri"/>
      <family val="2"/>
    </font>
    <font>
      <sz val="10"/>
      <color rgb="FFFF0000"/>
      <name val="Courier"/>
      <family val="3"/>
    </font>
    <font>
      <sz val="10"/>
      <color rgb="FFFF0000"/>
      <name val="Arial"/>
      <family val="2"/>
    </font>
    <font>
      <sz val="8"/>
      <color rgb="FFFF0000"/>
      <name val="Calibri"/>
      <family val="2"/>
    </font>
    <font>
      <sz val="9"/>
      <color rgb="FF0070C0"/>
      <name val="Calibri"/>
      <family val="2"/>
    </font>
    <font>
      <sz val="10"/>
      <color rgb="FFFF0000"/>
      <name val="Calibri"/>
      <family val="2"/>
    </font>
    <font>
      <sz val="9"/>
      <color rgb="FFFF0000"/>
      <name val="Calibri"/>
      <family val="2"/>
    </font>
    <font>
      <b/>
      <sz val="8"/>
      <name val="Courier"/>
      <family val="2"/>
    </font>
  </fonts>
  <fills count="5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dotted"/>
      <bottom style="dotted"/>
    </border>
    <border>
      <left style="medium"/>
      <right style="medium"/>
      <top style="hair"/>
      <bottom style="hair"/>
    </border>
    <border>
      <left style="dotted"/>
      <right style="dotted"/>
      <top style="dotted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hair"/>
    </border>
    <border>
      <left style="dotted"/>
      <right style="thin"/>
      <top style="dotted"/>
      <bottom style="hair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dotted"/>
      <right style="thin"/>
      <top style="dotted"/>
      <bottom style="dotted"/>
    </border>
    <border>
      <left style="dotted"/>
      <right style="thin"/>
      <top style="thin"/>
      <bottom style="dotted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</borders>
  <cellStyleXfs count="10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67" fillId="3" borderId="0" applyNumberFormat="0" applyBorder="0" applyAlignment="0" applyProtection="0"/>
    <xf numFmtId="0" fontId="14" fillId="4" borderId="0" applyNumberFormat="0" applyBorder="0" applyAlignment="0" applyProtection="0"/>
    <xf numFmtId="0" fontId="67" fillId="5" borderId="0" applyNumberFormat="0" applyBorder="0" applyAlignment="0" applyProtection="0"/>
    <xf numFmtId="0" fontId="14" fillId="6" borderId="0" applyNumberFormat="0" applyBorder="0" applyAlignment="0" applyProtection="0"/>
    <xf numFmtId="0" fontId="67" fillId="7" borderId="0" applyNumberFormat="0" applyBorder="0" applyAlignment="0" applyProtection="0"/>
    <xf numFmtId="0" fontId="14" fillId="8" borderId="0" applyNumberFormat="0" applyBorder="0" applyAlignment="0" applyProtection="0"/>
    <xf numFmtId="0" fontId="67" fillId="9" borderId="0" applyNumberFormat="0" applyBorder="0" applyAlignment="0" applyProtection="0"/>
    <xf numFmtId="0" fontId="14" fillId="10" borderId="0" applyNumberFormat="0" applyBorder="0" applyAlignment="0" applyProtection="0"/>
    <xf numFmtId="0" fontId="67" fillId="11" borderId="0" applyNumberFormat="0" applyBorder="0" applyAlignment="0" applyProtection="0"/>
    <xf numFmtId="0" fontId="14" fillId="6" borderId="0" applyNumberFormat="0" applyBorder="0" applyAlignment="0" applyProtection="0"/>
    <xf numFmtId="0" fontId="67" fillId="12" borderId="0" applyNumberFormat="0" applyBorder="0" applyAlignment="0" applyProtection="0"/>
    <xf numFmtId="0" fontId="14" fillId="10" borderId="0" applyNumberFormat="0" applyBorder="0" applyAlignment="0" applyProtection="0"/>
    <xf numFmtId="0" fontId="67" fillId="13" borderId="0" applyNumberFormat="0" applyBorder="0" applyAlignment="0" applyProtection="0"/>
    <xf numFmtId="0" fontId="14" fillId="4" borderId="0" applyNumberFormat="0" applyBorder="0" applyAlignment="0" applyProtection="0"/>
    <xf numFmtId="0" fontId="67" fillId="14" borderId="0" applyNumberFormat="0" applyBorder="0" applyAlignment="0" applyProtection="0"/>
    <xf numFmtId="0" fontId="14" fillId="15" borderId="0" applyNumberFormat="0" applyBorder="0" applyAlignment="0" applyProtection="0"/>
    <xf numFmtId="0" fontId="67" fillId="16" borderId="0" applyNumberFormat="0" applyBorder="0" applyAlignment="0" applyProtection="0"/>
    <xf numFmtId="0" fontId="14" fillId="17" borderId="0" applyNumberFormat="0" applyBorder="0" applyAlignment="0" applyProtection="0"/>
    <xf numFmtId="0" fontId="67" fillId="18" borderId="0" applyNumberFormat="0" applyBorder="0" applyAlignment="0" applyProtection="0"/>
    <xf numFmtId="0" fontId="14" fillId="10" borderId="0" applyNumberFormat="0" applyBorder="0" applyAlignment="0" applyProtection="0"/>
    <xf numFmtId="0" fontId="67" fillId="19" borderId="0" applyNumberFormat="0" applyBorder="0" applyAlignment="0" applyProtection="0"/>
    <xf numFmtId="0" fontId="14" fillId="6" borderId="0" applyNumberFormat="0" applyBorder="0" applyAlignment="0" applyProtection="0"/>
    <xf numFmtId="0" fontId="67" fillId="20" borderId="0" applyNumberFormat="0" applyBorder="0" applyAlignment="0" applyProtection="0"/>
    <xf numFmtId="0" fontId="15" fillId="10" borderId="0" applyNumberFormat="0" applyBorder="0" applyAlignment="0" applyProtection="0"/>
    <xf numFmtId="0" fontId="68" fillId="21" borderId="0" applyNumberFormat="0" applyBorder="0" applyAlignment="0" applyProtection="0"/>
    <xf numFmtId="0" fontId="15" fillId="22" borderId="0" applyNumberFormat="0" applyBorder="0" applyAlignment="0" applyProtection="0"/>
    <xf numFmtId="0" fontId="68" fillId="23" borderId="0" applyNumberFormat="0" applyBorder="0" applyAlignment="0" applyProtection="0"/>
    <xf numFmtId="0" fontId="15" fillId="24" borderId="0" applyNumberFormat="0" applyBorder="0" applyAlignment="0" applyProtection="0"/>
    <xf numFmtId="0" fontId="68" fillId="25" borderId="0" applyNumberFormat="0" applyBorder="0" applyAlignment="0" applyProtection="0"/>
    <xf numFmtId="0" fontId="15" fillId="17" borderId="0" applyNumberFormat="0" applyBorder="0" applyAlignment="0" applyProtection="0"/>
    <xf numFmtId="0" fontId="68" fillId="26" borderId="0" applyNumberFormat="0" applyBorder="0" applyAlignment="0" applyProtection="0"/>
    <xf numFmtId="0" fontId="15" fillId="10" borderId="0" applyNumberFormat="0" applyBorder="0" applyAlignment="0" applyProtection="0"/>
    <xf numFmtId="0" fontId="68" fillId="27" borderId="0" applyNumberFormat="0" applyBorder="0" applyAlignment="0" applyProtection="0"/>
    <xf numFmtId="0" fontId="15" fillId="4" borderId="0" applyNumberFormat="0" applyBorder="0" applyAlignment="0" applyProtection="0"/>
    <xf numFmtId="0" fontId="68" fillId="28" borderId="0" applyNumberFormat="0" applyBorder="0" applyAlignment="0" applyProtection="0"/>
    <xf numFmtId="0" fontId="16" fillId="10" borderId="0" applyNumberFormat="0" applyBorder="0" applyAlignment="0" applyProtection="0"/>
    <xf numFmtId="0" fontId="69" fillId="29" borderId="0" applyNumberFormat="0" applyBorder="0" applyAlignment="0" applyProtection="0"/>
    <xf numFmtId="0" fontId="17" fillId="30" borderId="1" applyNumberFormat="0" applyAlignment="0" applyProtection="0"/>
    <xf numFmtId="0" fontId="70" fillId="31" borderId="2" applyNumberFormat="0" applyAlignment="0" applyProtection="0"/>
    <xf numFmtId="0" fontId="18" fillId="32" borderId="3" applyNumberFormat="0" applyAlignment="0" applyProtection="0"/>
    <xf numFmtId="0" fontId="71" fillId="33" borderId="4" applyNumberFormat="0" applyAlignment="0" applyProtection="0"/>
    <xf numFmtId="0" fontId="19" fillId="0" borderId="5" applyNumberFormat="0" applyFill="0" applyAlignment="0" applyProtection="0"/>
    <xf numFmtId="0" fontId="72" fillId="0" borderId="6" applyNumberFormat="0" applyFill="0" applyAlignment="0" applyProtection="0"/>
    <xf numFmtId="0" fontId="15" fillId="34" borderId="0" applyNumberFormat="0" applyBorder="0" applyAlignment="0" applyProtection="0"/>
    <xf numFmtId="0" fontId="68" fillId="35" borderId="0" applyNumberFormat="0" applyBorder="0" applyAlignment="0" applyProtection="0"/>
    <xf numFmtId="0" fontId="15" fillId="22" borderId="0" applyNumberFormat="0" applyBorder="0" applyAlignment="0" applyProtection="0"/>
    <xf numFmtId="0" fontId="68" fillId="36" borderId="0" applyNumberFormat="0" applyBorder="0" applyAlignment="0" applyProtection="0"/>
    <xf numFmtId="0" fontId="15" fillId="24" borderId="0" applyNumberFormat="0" applyBorder="0" applyAlignment="0" applyProtection="0"/>
    <xf numFmtId="0" fontId="68" fillId="37" borderId="0" applyNumberFormat="0" applyBorder="0" applyAlignment="0" applyProtection="0"/>
    <xf numFmtId="0" fontId="15" fillId="38" borderId="0" applyNumberFormat="0" applyBorder="0" applyAlignment="0" applyProtection="0"/>
    <xf numFmtId="0" fontId="68" fillId="39" borderId="0" applyNumberFormat="0" applyBorder="0" applyAlignment="0" applyProtection="0"/>
    <xf numFmtId="0" fontId="15" fillId="40" borderId="0" applyNumberFormat="0" applyBorder="0" applyAlignment="0" applyProtection="0"/>
    <xf numFmtId="0" fontId="68" fillId="41" borderId="0" applyNumberFormat="0" applyBorder="0" applyAlignment="0" applyProtection="0"/>
    <xf numFmtId="0" fontId="15" fillId="42" borderId="0" applyNumberFormat="0" applyBorder="0" applyAlignment="0" applyProtection="0"/>
    <xf numFmtId="0" fontId="68" fillId="43" borderId="0" applyNumberFormat="0" applyBorder="0" applyAlignment="0" applyProtection="0"/>
    <xf numFmtId="0" fontId="20" fillId="15" borderId="1" applyNumberFormat="0" applyAlignment="0" applyProtection="0"/>
    <xf numFmtId="0" fontId="73" fillId="44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74" fillId="46" borderId="0" applyNumberFormat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15" borderId="0" applyNumberFormat="0" applyBorder="0" applyAlignment="0" applyProtection="0"/>
    <xf numFmtId="0" fontId="75" fillId="47" borderId="0" applyNumberFormat="0" applyBorder="0" applyAlignment="0" applyProtection="0"/>
    <xf numFmtId="0" fontId="4" fillId="0" borderId="0">
      <alignment/>
      <protection/>
    </xf>
    <xf numFmtId="37" fontId="0" fillId="0" borderId="0">
      <alignment/>
      <protection/>
    </xf>
    <xf numFmtId="0" fontId="67" fillId="0" borderId="0">
      <alignment/>
      <protection/>
    </xf>
    <xf numFmtId="0" fontId="0" fillId="6" borderId="7" applyNumberFormat="0" applyFont="0" applyAlignment="0" applyProtection="0"/>
    <xf numFmtId="0" fontId="67" fillId="48" borderId="8" applyNumberFormat="0" applyFont="0" applyAlignment="0" applyProtection="0"/>
    <xf numFmtId="9" fontId="4" fillId="0" borderId="0" applyFont="0" applyFill="0" applyBorder="0" applyAlignment="0" applyProtection="0"/>
    <xf numFmtId="0" fontId="23" fillId="30" borderId="9" applyNumberFormat="0" applyAlignment="0" applyProtection="0"/>
    <xf numFmtId="0" fontId="76" fillId="31" borderId="10" applyNumberFormat="0" applyAlignment="0" applyProtection="0"/>
    <xf numFmtId="164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79" fillId="0" borderId="12" applyNumberFormat="0" applyFill="0" applyAlignment="0" applyProtection="0"/>
    <xf numFmtId="0" fontId="27" fillId="0" borderId="13" applyNumberFormat="0" applyFill="0" applyAlignment="0" applyProtection="0"/>
    <xf numFmtId="0" fontId="80" fillId="0" borderId="14" applyNumberFormat="0" applyFill="0" applyAlignment="0" applyProtection="0"/>
    <xf numFmtId="0" fontId="28" fillId="0" borderId="15" applyNumberFormat="0" applyFill="0" applyAlignment="0" applyProtection="0"/>
    <xf numFmtId="0" fontId="81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83" fillId="0" borderId="18" applyNumberFormat="0" applyFill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593">
    <xf numFmtId="37" fontId="0" fillId="0" borderId="0" xfId="0" applyAlignment="1">
      <alignment/>
    </xf>
    <xf numFmtId="37" fontId="7" fillId="0" borderId="0" xfId="0" applyFont="1" applyAlignment="1">
      <alignment/>
    </xf>
    <xf numFmtId="37" fontId="4" fillId="0" borderId="0" xfId="0" applyFont="1" applyAlignment="1">
      <alignment/>
    </xf>
    <xf numFmtId="37" fontId="1" fillId="0" borderId="0" xfId="0" applyFont="1" applyAlignment="1">
      <alignment horizontal="center"/>
    </xf>
    <xf numFmtId="37" fontId="8" fillId="0" borderId="0" xfId="0" applyFont="1" applyAlignment="1">
      <alignment/>
    </xf>
    <xf numFmtId="37" fontId="9" fillId="0" borderId="0" xfId="0" applyFont="1" applyAlignment="1">
      <alignment/>
    </xf>
    <xf numFmtId="37" fontId="10" fillId="0" borderId="0" xfId="0" applyFont="1" applyAlignment="1">
      <alignment/>
    </xf>
    <xf numFmtId="39" fontId="0" fillId="0" borderId="0" xfId="0" applyNumberFormat="1" applyAlignment="1">
      <alignment/>
    </xf>
    <xf numFmtId="37" fontId="30" fillId="0" borderId="0" xfId="0" applyFont="1" applyAlignment="1">
      <alignment vertical="center"/>
    </xf>
    <xf numFmtId="37" fontId="31" fillId="0" borderId="0" xfId="0" applyFont="1" applyAlignment="1">
      <alignment vertical="center"/>
    </xf>
    <xf numFmtId="169" fontId="11" fillId="0" borderId="19" xfId="106" applyNumberFormat="1" applyFont="1" applyBorder="1" applyAlignment="1">
      <alignment horizontal="right" vertical="center"/>
    </xf>
    <xf numFmtId="169" fontId="11" fillId="0" borderId="20" xfId="106" applyNumberFormat="1" applyFont="1" applyBorder="1" applyAlignment="1">
      <alignment horizontal="right" vertical="center"/>
    </xf>
    <xf numFmtId="169" fontId="11" fillId="0" borderId="21" xfId="106" applyNumberFormat="1" applyFont="1" applyBorder="1" applyAlignment="1">
      <alignment horizontal="right" vertical="center"/>
    </xf>
    <xf numFmtId="169" fontId="11" fillId="0" borderId="22" xfId="106" applyNumberFormat="1" applyFont="1" applyBorder="1" applyAlignment="1">
      <alignment horizontal="right" vertical="center"/>
    </xf>
    <xf numFmtId="39" fontId="30" fillId="0" borderId="23" xfId="0" applyNumberFormat="1" applyFont="1" applyBorder="1" applyAlignment="1">
      <alignment horizontal="center" vertical="center"/>
    </xf>
    <xf numFmtId="39" fontId="30" fillId="0" borderId="24" xfId="0" applyNumberFormat="1" applyFont="1" applyBorder="1" applyAlignment="1">
      <alignment horizontal="center" vertical="center"/>
    </xf>
    <xf numFmtId="39" fontId="30" fillId="0" borderId="25" xfId="0" applyNumberFormat="1" applyFont="1" applyBorder="1" applyAlignment="1">
      <alignment horizontal="center" vertical="center"/>
    </xf>
    <xf numFmtId="169" fontId="11" fillId="0" borderId="26" xfId="106" applyNumberFormat="1" applyFont="1" applyBorder="1" applyAlignment="1">
      <alignment horizontal="right" vertical="center"/>
    </xf>
    <xf numFmtId="39" fontId="30" fillId="0" borderId="27" xfId="0" applyNumberFormat="1" applyFont="1" applyBorder="1" applyAlignment="1">
      <alignment horizontal="center" vertical="center"/>
    </xf>
    <xf numFmtId="169" fontId="11" fillId="0" borderId="28" xfId="106" applyNumberFormat="1" applyFont="1" applyBorder="1" applyAlignment="1">
      <alignment horizontal="right" vertical="center"/>
    </xf>
    <xf numFmtId="169" fontId="11" fillId="0" borderId="29" xfId="106" applyNumberFormat="1" applyFont="1" applyBorder="1" applyAlignment="1">
      <alignment horizontal="right" vertical="center"/>
    </xf>
    <xf numFmtId="169" fontId="11" fillId="0" borderId="30" xfId="106" applyNumberFormat="1" applyFont="1" applyBorder="1" applyAlignment="1">
      <alignment horizontal="right" vertical="center"/>
    </xf>
    <xf numFmtId="39" fontId="30" fillId="0" borderId="31" xfId="0" applyNumberFormat="1" applyFont="1" applyBorder="1" applyAlignment="1">
      <alignment horizontal="center" vertical="center"/>
    </xf>
    <xf numFmtId="37" fontId="11" fillId="0" borderId="0" xfId="0" applyFont="1" applyAlignment="1">
      <alignment horizontal="left" vertical="center" indent="1"/>
    </xf>
    <xf numFmtId="169" fontId="11" fillId="0" borderId="0" xfId="0" applyNumberFormat="1" applyFont="1" applyAlignment="1">
      <alignment horizontal="center" vertical="center"/>
    </xf>
    <xf numFmtId="169" fontId="11" fillId="0" borderId="23" xfId="106" applyNumberFormat="1" applyFont="1" applyBorder="1" applyAlignment="1">
      <alignment horizontal="right" vertical="center"/>
    </xf>
    <xf numFmtId="37" fontId="32" fillId="0" borderId="32" xfId="0" applyFont="1" applyBorder="1" applyAlignment="1">
      <alignment vertical="center"/>
    </xf>
    <xf numFmtId="37" fontId="32" fillId="0" borderId="33" xfId="0" applyFont="1" applyBorder="1" applyAlignment="1">
      <alignment vertical="center"/>
    </xf>
    <xf numFmtId="37" fontId="32" fillId="0" borderId="31" xfId="0" applyFont="1" applyBorder="1" applyAlignment="1">
      <alignment vertical="center"/>
    </xf>
    <xf numFmtId="169" fontId="30" fillId="0" borderId="34" xfId="0" applyNumberFormat="1" applyFont="1" applyBorder="1" applyAlignment="1">
      <alignment horizontal="center" vertical="center"/>
    </xf>
    <xf numFmtId="169" fontId="30" fillId="0" borderId="35" xfId="0" applyNumberFormat="1" applyFont="1" applyBorder="1" applyAlignment="1">
      <alignment horizontal="center" vertical="center"/>
    </xf>
    <xf numFmtId="169" fontId="30" fillId="0" borderId="36" xfId="0" applyNumberFormat="1" applyFont="1" applyBorder="1" applyAlignment="1">
      <alignment horizontal="center" vertical="center"/>
    </xf>
    <xf numFmtId="169" fontId="30" fillId="0" borderId="19" xfId="0" applyNumberFormat="1" applyFont="1" applyBorder="1" applyAlignment="1">
      <alignment horizontal="center" vertical="center"/>
    </xf>
    <xf numFmtId="169" fontId="30" fillId="0" borderId="20" xfId="0" applyNumberFormat="1" applyFont="1" applyBorder="1" applyAlignment="1">
      <alignment horizontal="center" vertical="center"/>
    </xf>
    <xf numFmtId="169" fontId="30" fillId="0" borderId="29" xfId="0" applyNumberFormat="1" applyFont="1" applyBorder="1" applyAlignment="1">
      <alignment horizontal="center" vertical="center"/>
    </xf>
    <xf numFmtId="37" fontId="30" fillId="0" borderId="0" xfId="0" applyFont="1" applyAlignment="1">
      <alignment/>
    </xf>
    <xf numFmtId="165" fontId="30" fillId="0" borderId="20" xfId="106" applyFont="1" applyBorder="1" applyAlignment="1">
      <alignment horizontal="right" vertical="center"/>
    </xf>
    <xf numFmtId="37" fontId="30" fillId="0" borderId="37" xfId="0" applyFont="1" applyBorder="1" applyAlignment="1">
      <alignment horizontal="center" vertical="center" wrapText="1"/>
    </xf>
    <xf numFmtId="37" fontId="30" fillId="0" borderId="38" xfId="0" applyFont="1" applyBorder="1" applyAlignment="1">
      <alignment horizontal="center" vertical="center" wrapText="1"/>
    </xf>
    <xf numFmtId="37" fontId="30" fillId="0" borderId="39" xfId="0" applyFont="1" applyBorder="1" applyAlignment="1">
      <alignment horizontal="center" vertical="center" wrapText="1"/>
    </xf>
    <xf numFmtId="37" fontId="30" fillId="0" borderId="38" xfId="0" applyFont="1" applyBorder="1" applyAlignment="1">
      <alignment horizontal="center" vertical="center"/>
    </xf>
    <xf numFmtId="37" fontId="30" fillId="0" borderId="39" xfId="0" applyFont="1" applyBorder="1" applyAlignment="1">
      <alignment horizontal="center" vertical="center"/>
    </xf>
    <xf numFmtId="165" fontId="30" fillId="0" borderId="0" xfId="106" applyFont="1" applyAlignment="1">
      <alignment horizontal="left" vertical="center"/>
    </xf>
    <xf numFmtId="165" fontId="30" fillId="0" borderId="0" xfId="106" applyFont="1" applyAlignment="1">
      <alignment horizontal="right" vertical="center"/>
    </xf>
    <xf numFmtId="165" fontId="33" fillId="0" borderId="0" xfId="106" applyFont="1" applyAlignment="1">
      <alignment horizontal="right" vertical="center"/>
    </xf>
    <xf numFmtId="37" fontId="30" fillId="0" borderId="22" xfId="0" applyFont="1" applyBorder="1" applyAlignment="1">
      <alignment horizontal="right" vertical="center" indent="1"/>
    </xf>
    <xf numFmtId="37" fontId="33" fillId="0" borderId="28" xfId="0" applyFont="1" applyBorder="1" applyAlignment="1">
      <alignment horizontal="right" vertical="center" indent="1"/>
    </xf>
    <xf numFmtId="37" fontId="30" fillId="0" borderId="20" xfId="0" applyFont="1" applyBorder="1" applyAlignment="1">
      <alignment horizontal="right" vertical="center" indent="1"/>
    </xf>
    <xf numFmtId="37" fontId="33" fillId="0" borderId="40" xfId="0" applyFont="1" applyBorder="1" applyAlignment="1">
      <alignment horizontal="right" vertical="center" indent="1"/>
    </xf>
    <xf numFmtId="37" fontId="33" fillId="0" borderId="41" xfId="0" applyFont="1" applyBorder="1" applyAlignment="1">
      <alignment horizontal="right" vertical="center" indent="1"/>
    </xf>
    <xf numFmtId="37" fontId="33" fillId="0" borderId="0" xfId="0" applyFont="1" applyAlignment="1">
      <alignment horizontal="right" vertical="center" indent="1"/>
    </xf>
    <xf numFmtId="37" fontId="30" fillId="0" borderId="42" xfId="0" applyFont="1" applyBorder="1" applyAlignment="1">
      <alignment horizontal="center" vertical="center"/>
    </xf>
    <xf numFmtId="0" fontId="30" fillId="0" borderId="43" xfId="0" applyNumberFormat="1" applyFont="1" applyBorder="1" applyAlignment="1">
      <alignment horizontal="center" vertical="center"/>
    </xf>
    <xf numFmtId="37" fontId="30" fillId="0" borderId="37" xfId="0" applyFont="1" applyBorder="1" applyAlignment="1">
      <alignment horizontal="center" vertical="center"/>
    </xf>
    <xf numFmtId="37" fontId="30" fillId="0" borderId="21" xfId="0" applyFont="1" applyBorder="1" applyAlignment="1">
      <alignment horizontal="right" vertical="center" indent="1"/>
    </xf>
    <xf numFmtId="37" fontId="30" fillId="0" borderId="19" xfId="0" applyFont="1" applyBorder="1" applyAlignment="1">
      <alignment horizontal="right" vertical="center" indent="1"/>
    </xf>
    <xf numFmtId="37" fontId="33" fillId="0" borderId="44" xfId="0" applyFont="1" applyBorder="1" applyAlignment="1">
      <alignment horizontal="right" vertical="center" indent="1"/>
    </xf>
    <xf numFmtId="37" fontId="30" fillId="0" borderId="0" xfId="0" applyFont="1" applyAlignment="1">
      <alignment horizontal="center" vertical="center"/>
    </xf>
    <xf numFmtId="39" fontId="30" fillId="0" borderId="0" xfId="0" applyNumberFormat="1" applyFont="1" applyAlignment="1">
      <alignment vertical="center"/>
    </xf>
    <xf numFmtId="37" fontId="11" fillId="0" borderId="20" xfId="0" applyFont="1" applyBorder="1" applyAlignment="1">
      <alignment horizontal="center" vertical="center"/>
    </xf>
    <xf numFmtId="165" fontId="34" fillId="0" borderId="0" xfId="106" applyFont="1" applyAlignment="1">
      <alignment vertical="center"/>
    </xf>
    <xf numFmtId="4" fontId="11" fillId="0" borderId="28" xfId="106" applyNumberFormat="1" applyFont="1" applyBorder="1" applyAlignment="1">
      <alignment horizontal="right" vertical="center"/>
    </xf>
    <xf numFmtId="37" fontId="11" fillId="0" borderId="0" xfId="0" applyFont="1" applyAlignment="1">
      <alignment vertical="center"/>
    </xf>
    <xf numFmtId="4" fontId="11" fillId="0" borderId="29" xfId="106" applyNumberFormat="1" applyFont="1" applyBorder="1" applyAlignment="1">
      <alignment horizontal="right" vertical="center"/>
    </xf>
    <xf numFmtId="4" fontId="11" fillId="0" borderId="27" xfId="106" applyNumberFormat="1" applyFont="1" applyBorder="1" applyAlignment="1">
      <alignment horizontal="right" vertical="center"/>
    </xf>
    <xf numFmtId="3" fontId="11" fillId="0" borderId="45" xfId="0" applyNumberFormat="1" applyFont="1" applyBorder="1" applyAlignment="1">
      <alignment horizontal="right" vertical="center"/>
    </xf>
    <xf numFmtId="4" fontId="11" fillId="0" borderId="28" xfId="0" applyNumberFormat="1" applyFont="1" applyBorder="1" applyAlignment="1">
      <alignment horizontal="right" vertical="center"/>
    </xf>
    <xf numFmtId="4" fontId="11" fillId="0" borderId="29" xfId="0" applyNumberFormat="1" applyFont="1" applyBorder="1" applyAlignment="1">
      <alignment horizontal="right" vertical="center"/>
    </xf>
    <xf numFmtId="3" fontId="11" fillId="0" borderId="27" xfId="0" applyNumberFormat="1" applyFont="1" applyBorder="1" applyAlignment="1">
      <alignment horizontal="right" vertical="center"/>
    </xf>
    <xf numFmtId="37" fontId="0" fillId="0" borderId="46" xfId="0" applyBorder="1" applyAlignment="1">
      <alignment/>
    </xf>
    <xf numFmtId="37" fontId="0" fillId="0" borderId="47" xfId="0" applyBorder="1" applyAlignment="1">
      <alignment/>
    </xf>
    <xf numFmtId="37" fontId="0" fillId="0" borderId="48" xfId="0" applyBorder="1" applyAlignment="1">
      <alignment/>
    </xf>
    <xf numFmtId="37" fontId="0" fillId="0" borderId="42" xfId="0" applyBorder="1" applyAlignment="1">
      <alignment/>
    </xf>
    <xf numFmtId="37" fontId="0" fillId="0" borderId="49" xfId="0" applyBorder="1" applyAlignment="1">
      <alignment/>
    </xf>
    <xf numFmtId="0" fontId="30" fillId="6" borderId="50" xfId="0" applyNumberFormat="1" applyFont="1" applyFill="1" applyBorder="1" applyAlignment="1">
      <alignment horizontal="center" vertical="center"/>
    </xf>
    <xf numFmtId="39" fontId="11" fillId="6" borderId="51" xfId="0" applyNumberFormat="1" applyFont="1" applyFill="1" applyBorder="1" applyAlignment="1">
      <alignment horizontal="right" vertical="center" indent="1"/>
    </xf>
    <xf numFmtId="37" fontId="30" fillId="15" borderId="50" xfId="0" applyFont="1" applyFill="1" applyBorder="1" applyAlignment="1">
      <alignment horizontal="center" vertical="center"/>
    </xf>
    <xf numFmtId="37" fontId="33" fillId="15" borderId="51" xfId="0" applyFont="1" applyFill="1" applyBorder="1" applyAlignment="1">
      <alignment horizontal="right" vertical="center" indent="1"/>
    </xf>
    <xf numFmtId="37" fontId="33" fillId="15" borderId="52" xfId="0" applyFont="1" applyFill="1" applyBorder="1" applyAlignment="1">
      <alignment horizontal="right" vertical="center" indent="1"/>
    </xf>
    <xf numFmtId="37" fontId="33" fillId="15" borderId="53" xfId="0" applyFont="1" applyFill="1" applyBorder="1" applyAlignment="1">
      <alignment horizontal="right" vertical="center" indent="1"/>
    </xf>
    <xf numFmtId="37" fontId="11" fillId="0" borderId="0" xfId="0" applyFont="1" applyAlignment="1">
      <alignment/>
    </xf>
    <xf numFmtId="37" fontId="31" fillId="0" borderId="0" xfId="0" applyFont="1" applyAlignment="1">
      <alignment/>
    </xf>
    <xf numFmtId="176" fontId="31" fillId="0" borderId="0" xfId="0" applyNumberFormat="1" applyFont="1" applyAlignment="1">
      <alignment/>
    </xf>
    <xf numFmtId="39" fontId="31" fillId="0" borderId="0" xfId="0" applyNumberFormat="1" applyFont="1" applyAlignment="1">
      <alignment/>
    </xf>
    <xf numFmtId="37" fontId="31" fillId="0" borderId="0" xfId="0" applyFont="1" applyAlignment="1">
      <alignment horizontal="center" vertical="center"/>
    </xf>
    <xf numFmtId="37" fontId="35" fillId="0" borderId="0" xfId="0" applyFont="1" applyAlignment="1">
      <alignment horizontal="center" vertical="center"/>
    </xf>
    <xf numFmtId="171" fontId="11" fillId="0" borderId="33" xfId="0" applyNumberFormat="1" applyFont="1" applyBorder="1" applyAlignment="1">
      <alignment horizontal="center" vertical="center"/>
    </xf>
    <xf numFmtId="171" fontId="11" fillId="0" borderId="54" xfId="0" applyNumberFormat="1" applyFont="1" applyBorder="1" applyAlignment="1">
      <alignment horizontal="center" vertical="center"/>
    </xf>
    <xf numFmtId="171" fontId="11" fillId="0" borderId="55" xfId="0" applyNumberFormat="1" applyFont="1" applyBorder="1" applyAlignment="1">
      <alignment horizontal="center" vertical="center"/>
    </xf>
    <xf numFmtId="171" fontId="11" fillId="0" borderId="29" xfId="0" applyNumberFormat="1" applyFont="1" applyBorder="1" applyAlignment="1">
      <alignment horizontal="center" vertical="center"/>
    </xf>
    <xf numFmtId="171" fontId="11" fillId="0" borderId="33" xfId="106" applyNumberFormat="1" applyFont="1" applyBorder="1" applyAlignment="1">
      <alignment horizontal="center" vertical="center"/>
    </xf>
    <xf numFmtId="171" fontId="11" fillId="0" borderId="19" xfId="106" applyNumberFormat="1" applyFont="1" applyBorder="1" applyAlignment="1">
      <alignment horizontal="center" vertical="center"/>
    </xf>
    <xf numFmtId="171" fontId="11" fillId="0" borderId="21" xfId="106" applyNumberFormat="1" applyFont="1" applyBorder="1" applyAlignment="1">
      <alignment horizontal="center" vertical="center"/>
    </xf>
    <xf numFmtId="37" fontId="11" fillId="0" borderId="56" xfId="0" applyFont="1" applyBorder="1" applyAlignment="1">
      <alignment horizontal="left" vertical="center" indent="1"/>
    </xf>
    <xf numFmtId="37" fontId="36" fillId="0" borderId="43" xfId="0" applyFont="1" applyBorder="1" applyAlignment="1">
      <alignment horizontal="left" vertical="center" indent="1"/>
    </xf>
    <xf numFmtId="37" fontId="36" fillId="0" borderId="57" xfId="0" applyFont="1" applyBorder="1" applyAlignment="1">
      <alignment horizontal="left" vertical="center" indent="1"/>
    </xf>
    <xf numFmtId="37" fontId="36" fillId="0" borderId="57" xfId="0" applyFont="1" applyBorder="1" applyAlignment="1" quotePrefix="1">
      <alignment horizontal="left" vertical="center" indent="1"/>
    </xf>
    <xf numFmtId="174" fontId="31" fillId="0" borderId="0" xfId="0" applyNumberFormat="1" applyFont="1" applyAlignment="1">
      <alignment/>
    </xf>
    <xf numFmtId="37" fontId="11" fillId="0" borderId="58" xfId="0" applyFont="1" applyBorder="1" applyAlignment="1">
      <alignment horizontal="center" vertical="center"/>
    </xf>
    <xf numFmtId="37" fontId="11" fillId="0" borderId="30" xfId="0" applyFont="1" applyBorder="1" applyAlignment="1">
      <alignment horizontal="center" vertical="center"/>
    </xf>
    <xf numFmtId="171" fontId="11" fillId="0" borderId="58" xfId="0" applyNumberFormat="1" applyFont="1" applyBorder="1" applyAlignment="1">
      <alignment horizontal="center" vertical="center"/>
    </xf>
    <xf numFmtId="37" fontId="30" fillId="0" borderId="59" xfId="0" applyFont="1" applyBorder="1" applyAlignment="1">
      <alignment vertical="center"/>
    </xf>
    <xf numFmtId="37" fontId="30" fillId="0" borderId="33" xfId="0" applyFont="1" applyBorder="1" applyAlignment="1">
      <alignment vertical="center"/>
    </xf>
    <xf numFmtId="37" fontId="30" fillId="0" borderId="60" xfId="0" applyFont="1" applyBorder="1" applyAlignment="1">
      <alignment vertical="center"/>
    </xf>
    <xf numFmtId="171" fontId="11" fillId="0" borderId="59" xfId="0" applyNumberFormat="1" applyFont="1" applyBorder="1" applyAlignment="1">
      <alignment horizontal="center" vertical="center"/>
    </xf>
    <xf numFmtId="37" fontId="36" fillId="0" borderId="61" xfId="0" applyFont="1" applyBorder="1" applyAlignment="1" quotePrefix="1">
      <alignment horizontal="left" vertical="center" indent="1"/>
    </xf>
    <xf numFmtId="171" fontId="30" fillId="0" borderId="22" xfId="0" applyNumberFormat="1" applyFont="1" applyBorder="1" applyAlignment="1">
      <alignment horizontal="center" vertical="center"/>
    </xf>
    <xf numFmtId="37" fontId="30" fillId="0" borderId="26" xfId="0" applyFont="1" applyBorder="1" applyAlignment="1">
      <alignment horizontal="center" vertical="center"/>
    </xf>
    <xf numFmtId="165" fontId="30" fillId="0" borderId="20" xfId="106" applyFont="1" applyBorder="1" applyAlignment="1">
      <alignment horizontal="center" vertical="center"/>
    </xf>
    <xf numFmtId="165" fontId="30" fillId="0" borderId="26" xfId="106" applyFont="1" applyBorder="1" applyAlignment="1">
      <alignment horizontal="center" vertical="center"/>
    </xf>
    <xf numFmtId="171" fontId="32" fillId="0" borderId="21" xfId="0" applyNumberFormat="1" applyFont="1" applyBorder="1" applyAlignment="1">
      <alignment vertical="center"/>
    </xf>
    <xf numFmtId="171" fontId="32" fillId="0" borderId="59" xfId="0" applyNumberFormat="1" applyFont="1" applyBorder="1" applyAlignment="1">
      <alignment horizontal="center" vertical="center"/>
    </xf>
    <xf numFmtId="171" fontId="32" fillId="0" borderId="21" xfId="0" applyNumberFormat="1" applyFont="1" applyBorder="1" applyAlignment="1">
      <alignment horizontal="center" vertical="center"/>
    </xf>
    <xf numFmtId="10" fontId="30" fillId="0" borderId="20" xfId="86" applyNumberFormat="1" applyFont="1" applyBorder="1" applyAlignment="1">
      <alignment horizontal="center" vertical="center"/>
    </xf>
    <xf numFmtId="10" fontId="30" fillId="0" borderId="29" xfId="86" applyNumberFormat="1" applyFont="1" applyBorder="1" applyAlignment="1">
      <alignment horizontal="center" vertical="center"/>
    </xf>
    <xf numFmtId="171" fontId="32" fillId="0" borderId="19" xfId="0" applyNumberFormat="1" applyFont="1" applyBorder="1" applyAlignment="1">
      <alignment horizontal="center" vertical="center"/>
    </xf>
    <xf numFmtId="175" fontId="32" fillId="0" borderId="19" xfId="0" applyNumberFormat="1" applyFont="1" applyBorder="1" applyAlignment="1">
      <alignment horizontal="center" vertical="center"/>
    </xf>
    <xf numFmtId="37" fontId="32" fillId="0" borderId="62" xfId="0" applyFont="1" applyBorder="1" applyAlignment="1">
      <alignment horizontal="center" vertical="center"/>
    </xf>
    <xf numFmtId="171" fontId="32" fillId="0" borderId="33" xfId="0" applyNumberFormat="1" applyFont="1" applyBorder="1" applyAlignment="1">
      <alignment horizontal="center" vertical="center"/>
    </xf>
    <xf numFmtId="37" fontId="32" fillId="0" borderId="60" xfId="0" applyFont="1" applyBorder="1" applyAlignment="1">
      <alignment horizontal="center" vertical="center"/>
    </xf>
    <xf numFmtId="175" fontId="32" fillId="0" borderId="62" xfId="0" applyNumberFormat="1" applyFont="1" applyBorder="1" applyAlignment="1">
      <alignment horizontal="center" vertical="center"/>
    </xf>
    <xf numFmtId="2" fontId="30" fillId="0" borderId="20" xfId="0" applyNumberFormat="1" applyFont="1" applyBorder="1" applyAlignment="1">
      <alignment horizontal="right" vertical="center"/>
    </xf>
    <xf numFmtId="171" fontId="32" fillId="0" borderId="19" xfId="106" applyNumberFormat="1" applyFont="1" applyBorder="1" applyAlignment="1">
      <alignment horizontal="center" vertical="center"/>
    </xf>
    <xf numFmtId="165" fontId="30" fillId="0" borderId="22" xfId="106" applyFont="1" applyBorder="1" applyAlignment="1">
      <alignment horizontal="center" vertical="center"/>
    </xf>
    <xf numFmtId="172" fontId="30" fillId="0" borderId="20" xfId="106" applyNumberFormat="1" applyFont="1" applyBorder="1" applyAlignment="1">
      <alignment horizontal="center" vertical="center"/>
    </xf>
    <xf numFmtId="165" fontId="30" fillId="0" borderId="22" xfId="106" applyFont="1" applyBorder="1" applyAlignment="1">
      <alignment horizontal="right" vertical="center"/>
    </xf>
    <xf numFmtId="171" fontId="30" fillId="0" borderId="20" xfId="106" applyNumberFormat="1" applyFont="1" applyBorder="1" applyAlignment="1">
      <alignment horizontal="right" vertical="center"/>
    </xf>
    <xf numFmtId="171" fontId="11" fillId="0" borderId="54" xfId="0" applyNumberFormat="1" applyFont="1" applyBorder="1" applyAlignment="1">
      <alignment horizontal="right" vertical="center"/>
    </xf>
    <xf numFmtId="171" fontId="11" fillId="0" borderId="55" xfId="0" applyNumberFormat="1" applyFont="1" applyBorder="1" applyAlignment="1">
      <alignment horizontal="right" vertical="center"/>
    </xf>
    <xf numFmtId="172" fontId="11" fillId="0" borderId="55" xfId="0" applyNumberFormat="1" applyFont="1" applyBorder="1" applyAlignment="1">
      <alignment horizontal="right" vertical="center"/>
    </xf>
    <xf numFmtId="171" fontId="11" fillId="0" borderId="55" xfId="106" applyNumberFormat="1" applyFont="1" applyBorder="1" applyAlignment="1">
      <alignment horizontal="right" vertical="center"/>
    </xf>
    <xf numFmtId="171" fontId="11" fillId="0" borderId="29" xfId="0" applyNumberFormat="1" applyFont="1" applyBorder="1" applyAlignment="1">
      <alignment horizontal="right" vertical="center"/>
    </xf>
    <xf numFmtId="172" fontId="11" fillId="0" borderId="29" xfId="0" applyNumberFormat="1" applyFont="1" applyBorder="1" applyAlignment="1">
      <alignment horizontal="right" vertical="center"/>
    </xf>
    <xf numFmtId="2" fontId="30" fillId="0" borderId="20" xfId="0" applyNumberFormat="1" applyFont="1" applyBorder="1" applyAlignment="1">
      <alignment vertical="center"/>
    </xf>
    <xf numFmtId="37" fontId="38" fillId="6" borderId="63" xfId="0" applyFont="1" applyFill="1" applyBorder="1" applyAlignment="1">
      <alignment horizontal="left" vertical="center" indent="1"/>
    </xf>
    <xf numFmtId="37" fontId="30" fillId="6" borderId="62" xfId="0" applyFont="1" applyFill="1" applyBorder="1" applyAlignment="1">
      <alignment horizontal="center" vertical="center"/>
    </xf>
    <xf numFmtId="37" fontId="30" fillId="6" borderId="26" xfId="0" applyFont="1" applyFill="1" applyBorder="1" applyAlignment="1">
      <alignment horizontal="center" vertical="center"/>
    </xf>
    <xf numFmtId="37" fontId="30" fillId="6" borderId="30" xfId="0" applyFont="1" applyFill="1" applyBorder="1" applyAlignment="1">
      <alignment horizontal="center" vertical="center"/>
    </xf>
    <xf numFmtId="37" fontId="30" fillId="6" borderId="58" xfId="0" applyFont="1" applyFill="1" applyBorder="1" applyAlignment="1">
      <alignment horizontal="center" vertical="center"/>
    </xf>
    <xf numFmtId="37" fontId="30" fillId="6" borderId="60" xfId="0" applyFont="1" applyFill="1" applyBorder="1" applyAlignment="1">
      <alignment horizontal="center" vertical="center"/>
    </xf>
    <xf numFmtId="37" fontId="31" fillId="6" borderId="42" xfId="0" applyFont="1" applyFill="1" applyBorder="1" applyAlignment="1">
      <alignment horizontal="left" vertical="center" indent="1"/>
    </xf>
    <xf numFmtId="170" fontId="38" fillId="6" borderId="37" xfId="0" applyNumberFormat="1" applyFont="1" applyFill="1" applyBorder="1" applyAlignment="1">
      <alignment horizontal="center" vertical="center"/>
    </xf>
    <xf numFmtId="170" fontId="38" fillId="6" borderId="38" xfId="0" applyNumberFormat="1" applyFont="1" applyFill="1" applyBorder="1" applyAlignment="1">
      <alignment horizontal="center" vertical="center"/>
    </xf>
    <xf numFmtId="170" fontId="38" fillId="6" borderId="64" xfId="0" applyNumberFormat="1" applyFont="1" applyFill="1" applyBorder="1" applyAlignment="1">
      <alignment horizontal="center" vertical="center"/>
    </xf>
    <xf numFmtId="37" fontId="31" fillId="6" borderId="65" xfId="0" applyFont="1" applyFill="1" applyBorder="1" applyAlignment="1">
      <alignment horizontal="center" vertical="center"/>
    </xf>
    <xf numFmtId="37" fontId="31" fillId="6" borderId="38" xfId="0" applyFont="1" applyFill="1" applyBorder="1" applyAlignment="1">
      <alignment horizontal="center" vertical="center"/>
    </xf>
    <xf numFmtId="170" fontId="38" fillId="6" borderId="39" xfId="0" applyNumberFormat="1" applyFont="1" applyFill="1" applyBorder="1" applyAlignment="1">
      <alignment horizontal="center" vertical="center"/>
    </xf>
    <xf numFmtId="37" fontId="31" fillId="6" borderId="37" xfId="0" applyFont="1" applyFill="1" applyBorder="1" applyAlignment="1">
      <alignment horizontal="center" vertical="center"/>
    </xf>
    <xf numFmtId="171" fontId="31" fillId="6" borderId="65" xfId="0" applyNumberFormat="1" applyFont="1" applyFill="1" applyBorder="1" applyAlignment="1">
      <alignment horizontal="center" vertical="center"/>
    </xf>
    <xf numFmtId="165" fontId="11" fillId="0" borderId="55" xfId="0" applyNumberFormat="1" applyFont="1" applyBorder="1" applyAlignment="1">
      <alignment horizontal="right" vertical="center"/>
    </xf>
    <xf numFmtId="171" fontId="11" fillId="0" borderId="60" xfId="0" applyNumberFormat="1" applyFont="1" applyBorder="1" applyAlignment="1">
      <alignment horizontal="center" vertical="center"/>
    </xf>
    <xf numFmtId="165" fontId="30" fillId="0" borderId="29" xfId="106" applyFont="1" applyBorder="1" applyAlignment="1">
      <alignment horizontal="right" vertical="center"/>
    </xf>
    <xf numFmtId="171" fontId="11" fillId="0" borderId="54" xfId="106" applyNumberFormat="1" applyFont="1" applyBorder="1" applyAlignment="1">
      <alignment horizontal="right" vertical="center"/>
    </xf>
    <xf numFmtId="37" fontId="34" fillId="0" borderId="0" xfId="0" applyFont="1" applyAlignment="1">
      <alignment/>
    </xf>
    <xf numFmtId="170" fontId="34" fillId="6" borderId="37" xfId="0" applyNumberFormat="1" applyFont="1" applyFill="1" applyBorder="1" applyAlignment="1">
      <alignment horizontal="center" vertical="center"/>
    </xf>
    <xf numFmtId="170" fontId="34" fillId="6" borderId="38" xfId="0" applyNumberFormat="1" applyFont="1" applyFill="1" applyBorder="1" applyAlignment="1">
      <alignment horizontal="center" vertical="center"/>
    </xf>
    <xf numFmtId="170" fontId="34" fillId="6" borderId="64" xfId="0" applyNumberFormat="1" applyFont="1" applyFill="1" applyBorder="1" applyAlignment="1">
      <alignment horizontal="center" vertical="center"/>
    </xf>
    <xf numFmtId="170" fontId="34" fillId="6" borderId="39" xfId="0" applyNumberFormat="1" applyFont="1" applyFill="1" applyBorder="1" applyAlignment="1">
      <alignment horizontal="center" vertical="center"/>
    </xf>
    <xf numFmtId="37" fontId="34" fillId="6" borderId="42" xfId="0" applyFont="1" applyFill="1" applyBorder="1" applyAlignment="1">
      <alignment horizontal="left" vertical="center" indent="1"/>
    </xf>
    <xf numFmtId="37" fontId="34" fillId="6" borderId="65" xfId="0" applyFont="1" applyFill="1" applyBorder="1" applyAlignment="1">
      <alignment horizontal="center" vertical="center"/>
    </xf>
    <xf numFmtId="37" fontId="34" fillId="6" borderId="38" xfId="0" applyFont="1" applyFill="1" applyBorder="1" applyAlignment="1">
      <alignment horizontal="center" vertical="center"/>
    </xf>
    <xf numFmtId="37" fontId="34" fillId="6" borderId="37" xfId="0" applyFont="1" applyFill="1" applyBorder="1" applyAlignment="1">
      <alignment horizontal="center" vertical="center"/>
    </xf>
    <xf numFmtId="171" fontId="34" fillId="6" borderId="65" xfId="0" applyNumberFormat="1" applyFont="1" applyFill="1" applyBorder="1" applyAlignment="1">
      <alignment horizontal="center" vertical="center"/>
    </xf>
    <xf numFmtId="37" fontId="34" fillId="6" borderId="0" xfId="0" applyFont="1" applyFill="1" applyAlignment="1">
      <alignment horizontal="left" vertical="center" indent="1"/>
    </xf>
    <xf numFmtId="170" fontId="34" fillId="6" borderId="44" xfId="0" applyNumberFormat="1" applyFont="1" applyFill="1" applyBorder="1" applyAlignment="1">
      <alignment horizontal="center" vertical="center"/>
    </xf>
    <xf numFmtId="170" fontId="34" fillId="6" borderId="40" xfId="0" applyNumberFormat="1" applyFont="1" applyFill="1" applyBorder="1" applyAlignment="1">
      <alignment horizontal="center" vertical="center"/>
    </xf>
    <xf numFmtId="170" fontId="34" fillId="6" borderId="66" xfId="0" applyNumberFormat="1" applyFont="1" applyFill="1" applyBorder="1" applyAlignment="1">
      <alignment horizontal="center" vertical="center"/>
    </xf>
    <xf numFmtId="37" fontId="34" fillId="6" borderId="44" xfId="0" applyFont="1" applyFill="1" applyBorder="1" applyAlignment="1">
      <alignment horizontal="center" vertical="center"/>
    </xf>
    <xf numFmtId="37" fontId="34" fillId="6" borderId="40" xfId="0" applyFont="1" applyFill="1" applyBorder="1" applyAlignment="1">
      <alignment horizontal="center" vertical="center"/>
    </xf>
    <xf numFmtId="171" fontId="34" fillId="6" borderId="67" xfId="0" applyNumberFormat="1" applyFont="1" applyFill="1" applyBorder="1" applyAlignment="1">
      <alignment horizontal="center" vertical="center"/>
    </xf>
    <xf numFmtId="37" fontId="31" fillId="0" borderId="42" xfId="0" applyFont="1" applyBorder="1" applyAlignment="1">
      <alignment vertical="center"/>
    </xf>
    <xf numFmtId="37" fontId="36" fillId="0" borderId="0" xfId="0" applyFont="1" applyAlignment="1">
      <alignment horizontal="left" vertical="center" indent="2"/>
    </xf>
    <xf numFmtId="9" fontId="11" fillId="0" borderId="0" xfId="86" applyFont="1" applyAlignment="1">
      <alignment horizontal="center" vertical="center"/>
    </xf>
    <xf numFmtId="171" fontId="36" fillId="0" borderId="0" xfId="0" applyNumberFormat="1" applyFont="1" applyAlignment="1">
      <alignment horizontal="center" vertical="center"/>
    </xf>
    <xf numFmtId="10" fontId="11" fillId="0" borderId="0" xfId="86" applyNumberFormat="1" applyFont="1" applyAlignment="1">
      <alignment horizontal="center" vertical="center"/>
    </xf>
    <xf numFmtId="37" fontId="31" fillId="6" borderId="68" xfId="0" applyFont="1" applyFill="1" applyBorder="1" applyAlignment="1">
      <alignment horizontal="left" vertical="center" indent="1"/>
    </xf>
    <xf numFmtId="37" fontId="31" fillId="6" borderId="69" xfId="0" applyFont="1" applyFill="1" applyBorder="1" applyAlignment="1">
      <alignment horizontal="left" vertical="center" indent="1"/>
    </xf>
    <xf numFmtId="37" fontId="11" fillId="30" borderId="68" xfId="0" applyFont="1" applyFill="1" applyBorder="1" applyAlignment="1">
      <alignment horizontal="left" vertical="center" indent="1"/>
    </xf>
    <xf numFmtId="171" fontId="31" fillId="30" borderId="32" xfId="0" applyNumberFormat="1" applyFont="1" applyFill="1" applyBorder="1" applyAlignment="1">
      <alignment horizontal="center" vertical="center"/>
    </xf>
    <xf numFmtId="37" fontId="31" fillId="30" borderId="69" xfId="0" applyFont="1" applyFill="1" applyBorder="1" applyAlignment="1">
      <alignment horizontal="left" vertical="center" indent="1"/>
    </xf>
    <xf numFmtId="37" fontId="11" fillId="30" borderId="69" xfId="0" applyFont="1" applyFill="1" applyBorder="1" applyAlignment="1">
      <alignment horizontal="right" vertical="center"/>
    </xf>
    <xf numFmtId="9" fontId="11" fillId="30" borderId="70" xfId="86" applyFont="1" applyFill="1" applyBorder="1" applyAlignment="1">
      <alignment horizontal="center" vertical="center"/>
    </xf>
    <xf numFmtId="37" fontId="11" fillId="30" borderId="71" xfId="0" applyFont="1" applyFill="1" applyBorder="1" applyAlignment="1">
      <alignment vertical="center"/>
    </xf>
    <xf numFmtId="37" fontId="11" fillId="30" borderId="70" xfId="0" applyFont="1" applyFill="1" applyBorder="1" applyAlignment="1">
      <alignment horizontal="right" vertical="center"/>
    </xf>
    <xf numFmtId="171" fontId="31" fillId="30" borderId="31" xfId="0" applyNumberFormat="1" applyFont="1" applyFill="1" applyBorder="1" applyAlignment="1">
      <alignment horizontal="center" vertical="center"/>
    </xf>
    <xf numFmtId="180" fontId="30" fillId="0" borderId="41" xfId="86" applyNumberFormat="1" applyFont="1" applyBorder="1" applyAlignment="1">
      <alignment horizontal="right" vertical="center"/>
    </xf>
    <xf numFmtId="10" fontId="31" fillId="6" borderId="39" xfId="86" applyNumberFormat="1" applyFont="1" applyFill="1" applyBorder="1" applyAlignment="1">
      <alignment horizontal="right" vertical="center"/>
    </xf>
    <xf numFmtId="10" fontId="11" fillId="0" borderId="28" xfId="86" applyNumberFormat="1" applyFont="1" applyBorder="1" applyAlignment="1">
      <alignment horizontal="right" vertical="center"/>
    </xf>
    <xf numFmtId="10" fontId="11" fillId="0" borderId="29" xfId="86" applyNumberFormat="1" applyFont="1" applyBorder="1" applyAlignment="1">
      <alignment horizontal="right" vertical="center"/>
    </xf>
    <xf numFmtId="10" fontId="11" fillId="0" borderId="30" xfId="86" applyNumberFormat="1" applyFont="1" applyBorder="1" applyAlignment="1">
      <alignment horizontal="right" vertical="center"/>
    </xf>
    <xf numFmtId="37" fontId="31" fillId="0" borderId="0" xfId="0" applyFont="1" applyAlignment="1">
      <alignment horizontal="right" vertical="center"/>
    </xf>
    <xf numFmtId="10" fontId="34" fillId="6" borderId="39" xfId="86" applyNumberFormat="1" applyFont="1" applyFill="1" applyBorder="1" applyAlignment="1">
      <alignment horizontal="right" vertical="center"/>
    </xf>
    <xf numFmtId="10" fontId="34" fillId="6" borderId="41" xfId="86" applyNumberFormat="1" applyFont="1" applyFill="1" applyBorder="1" applyAlignment="1">
      <alignment horizontal="right" vertical="center"/>
    </xf>
    <xf numFmtId="37" fontId="31" fillId="0" borderId="42" xfId="0" applyFont="1" applyBorder="1" applyAlignment="1">
      <alignment horizontal="right" vertical="center"/>
    </xf>
    <xf numFmtId="10" fontId="11" fillId="30" borderId="72" xfId="86" applyNumberFormat="1" applyFont="1" applyFill="1" applyBorder="1" applyAlignment="1">
      <alignment horizontal="right" vertical="center"/>
    </xf>
    <xf numFmtId="10" fontId="11" fillId="30" borderId="25" xfId="86" applyNumberFormat="1" applyFont="1" applyFill="1" applyBorder="1" applyAlignment="1">
      <alignment horizontal="right" vertical="center"/>
    </xf>
    <xf numFmtId="173" fontId="30" fillId="0" borderId="59" xfId="0" applyNumberFormat="1" applyFont="1" applyBorder="1" applyAlignment="1">
      <alignment vertical="center"/>
    </xf>
    <xf numFmtId="37" fontId="30" fillId="0" borderId="31" xfId="0" applyFont="1" applyBorder="1" applyAlignment="1">
      <alignment vertical="center"/>
    </xf>
    <xf numFmtId="37" fontId="30" fillId="0" borderId="73" xfId="0" applyFont="1" applyBorder="1" applyAlignment="1">
      <alignment vertical="center"/>
    </xf>
    <xf numFmtId="37" fontId="30" fillId="0" borderId="33" xfId="0" applyFont="1" applyBorder="1" applyAlignment="1" quotePrefix="1">
      <alignment vertical="center"/>
    </xf>
    <xf numFmtId="9" fontId="11" fillId="30" borderId="70" xfId="86" applyFont="1" applyFill="1" applyBorder="1" applyAlignment="1" applyProtection="1">
      <alignment horizontal="center" vertical="center"/>
      <protection locked="0"/>
    </xf>
    <xf numFmtId="37" fontId="7" fillId="0" borderId="74" xfId="0" applyFont="1" applyBorder="1" applyAlignment="1">
      <alignment/>
    </xf>
    <xf numFmtId="176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10" fontId="14" fillId="0" borderId="0" xfId="86" applyNumberFormat="1" applyFont="1" applyAlignment="1">
      <alignment horizontal="center"/>
    </xf>
    <xf numFmtId="178" fontId="14" fillId="0" borderId="0" xfId="77" applyNumberFormat="1" applyFont="1" applyAlignment="1">
      <alignment/>
    </xf>
    <xf numFmtId="37" fontId="14" fillId="0" borderId="0" xfId="0" applyFont="1" applyAlignment="1">
      <alignment/>
    </xf>
    <xf numFmtId="37" fontId="29" fillId="0" borderId="0" xfId="0" applyFont="1" applyAlignment="1">
      <alignment/>
    </xf>
    <xf numFmtId="37" fontId="15" fillId="0" borderId="0" xfId="0" applyFont="1" applyAlignment="1">
      <alignment horizontal="center"/>
    </xf>
    <xf numFmtId="9" fontId="14" fillId="0" borderId="0" xfId="86" applyFont="1" applyAlignment="1">
      <alignment horizontal="center"/>
    </xf>
    <xf numFmtId="178" fontId="14" fillId="0" borderId="0" xfId="0" applyNumberFormat="1" applyFont="1" applyAlignment="1">
      <alignment horizontal="center"/>
    </xf>
    <xf numFmtId="37" fontId="14" fillId="49" borderId="0" xfId="0" applyFont="1" applyFill="1" applyAlignment="1">
      <alignment horizontal="center"/>
    </xf>
    <xf numFmtId="176" fontId="31" fillId="0" borderId="0" xfId="86" applyNumberFormat="1" applyFont="1" applyAlignment="1">
      <alignment/>
    </xf>
    <xf numFmtId="176" fontId="39" fillId="0" borderId="0" xfId="0" applyNumberFormat="1" applyFont="1" applyAlignment="1">
      <alignment horizontal="center"/>
    </xf>
    <xf numFmtId="37" fontId="36" fillId="0" borderId="0" xfId="0" applyFont="1" applyAlignment="1">
      <alignment horizontal="left" vertical="center" indent="1"/>
    </xf>
    <xf numFmtId="37" fontId="36" fillId="0" borderId="75" xfId="0" applyFont="1" applyBorder="1" applyAlignment="1">
      <alignment horizontal="left" vertical="center" indent="1"/>
    </xf>
    <xf numFmtId="176" fontId="39" fillId="0" borderId="75" xfId="0" applyNumberFormat="1" applyFont="1" applyBorder="1" applyAlignment="1">
      <alignment horizontal="center"/>
    </xf>
    <xf numFmtId="10" fontId="14" fillId="0" borderId="75" xfId="86" applyNumberFormat="1" applyFont="1" applyBorder="1" applyAlignment="1">
      <alignment horizontal="center"/>
    </xf>
    <xf numFmtId="178" fontId="14" fillId="0" borderId="75" xfId="77" applyNumberFormat="1" applyFont="1" applyBorder="1" applyAlignment="1">
      <alignment/>
    </xf>
    <xf numFmtId="37" fontId="36" fillId="0" borderId="75" xfId="0" applyFont="1" applyBorder="1" applyAlignment="1" quotePrefix="1">
      <alignment horizontal="left" vertical="center" indent="1"/>
    </xf>
    <xf numFmtId="37" fontId="36" fillId="0" borderId="76" xfId="0" applyFont="1" applyBorder="1" applyAlignment="1">
      <alignment horizontal="left" vertical="center" indent="1"/>
    </xf>
    <xf numFmtId="176" fontId="39" fillId="0" borderId="76" xfId="0" applyNumberFormat="1" applyFont="1" applyBorder="1" applyAlignment="1">
      <alignment horizontal="center"/>
    </xf>
    <xf numFmtId="10" fontId="14" fillId="0" borderId="76" xfId="86" applyNumberFormat="1" applyFont="1" applyBorder="1" applyAlignment="1">
      <alignment horizontal="center"/>
    </xf>
    <xf numFmtId="178" fontId="14" fillId="0" borderId="76" xfId="77" applyNumberFormat="1" applyFont="1" applyBorder="1" applyAlignment="1">
      <alignment/>
    </xf>
    <xf numFmtId="37" fontId="36" fillId="0" borderId="76" xfId="0" applyFont="1" applyBorder="1" applyAlignment="1" quotePrefix="1">
      <alignment horizontal="left" vertical="center" indent="1"/>
    </xf>
    <xf numFmtId="37" fontId="11" fillId="30" borderId="76" xfId="0" applyFont="1" applyFill="1" applyBorder="1" applyAlignment="1">
      <alignment horizontal="left" vertical="center" indent="1"/>
    </xf>
    <xf numFmtId="37" fontId="31" fillId="30" borderId="76" xfId="0" applyFont="1" applyFill="1" applyBorder="1" applyAlignment="1">
      <alignment horizontal="left" vertical="center" indent="1"/>
    </xf>
    <xf numFmtId="9" fontId="9" fillId="0" borderId="0" xfId="86" applyFont="1" applyAlignment="1">
      <alignment/>
    </xf>
    <xf numFmtId="176" fontId="14" fillId="0" borderId="76" xfId="0" applyNumberFormat="1" applyFont="1" applyBorder="1" applyAlignment="1">
      <alignment horizontal="center"/>
    </xf>
    <xf numFmtId="176" fontId="14" fillId="49" borderId="0" xfId="0" applyNumberFormat="1" applyFont="1" applyFill="1" applyAlignment="1">
      <alignment horizontal="center"/>
    </xf>
    <xf numFmtId="176" fontId="14" fillId="0" borderId="75" xfId="0" applyNumberFormat="1" applyFont="1" applyBorder="1" applyAlignment="1">
      <alignment horizontal="center"/>
    </xf>
    <xf numFmtId="176" fontId="14" fillId="0" borderId="0" xfId="0" applyNumberFormat="1" applyFont="1" applyAlignment="1">
      <alignment horizontal="center"/>
    </xf>
    <xf numFmtId="176" fontId="0" fillId="0" borderId="0" xfId="0" applyNumberFormat="1" applyAlignment="1">
      <alignment/>
    </xf>
    <xf numFmtId="165" fontId="31" fillId="0" borderId="0" xfId="106" applyFont="1" applyAlignment="1">
      <alignment/>
    </xf>
    <xf numFmtId="37" fontId="38" fillId="2" borderId="0" xfId="0" applyFont="1" applyFill="1" applyAlignment="1">
      <alignment vertical="center"/>
    </xf>
    <xf numFmtId="176" fontId="39" fillId="2" borderId="75" xfId="0" applyNumberFormat="1" applyFont="1" applyFill="1" applyBorder="1" applyAlignment="1">
      <alignment horizontal="center"/>
    </xf>
    <xf numFmtId="10" fontId="14" fillId="2" borderId="75" xfId="86" applyNumberFormat="1" applyFont="1" applyFill="1" applyBorder="1" applyAlignment="1">
      <alignment horizontal="center"/>
    </xf>
    <xf numFmtId="176" fontId="14" fillId="2" borderId="75" xfId="0" applyNumberFormat="1" applyFont="1" applyFill="1" applyBorder="1" applyAlignment="1">
      <alignment horizontal="center"/>
    </xf>
    <xf numFmtId="178" fontId="14" fillId="2" borderId="75" xfId="77" applyNumberFormat="1" applyFont="1" applyFill="1" applyBorder="1" applyAlignment="1">
      <alignment/>
    </xf>
    <xf numFmtId="183" fontId="39" fillId="0" borderId="0" xfId="0" applyNumberFormat="1" applyFont="1" applyAlignment="1">
      <alignment horizontal="center"/>
    </xf>
    <xf numFmtId="178" fontId="39" fillId="0" borderId="0" xfId="77" applyNumberFormat="1" applyFont="1" applyAlignment="1">
      <alignment horizontal="center"/>
    </xf>
    <xf numFmtId="3" fontId="0" fillId="0" borderId="29" xfId="0" applyNumberFormat="1" applyFont="1" applyBorder="1" applyAlignment="1">
      <alignment horizontal="center" vertical="center"/>
    </xf>
    <xf numFmtId="37" fontId="0" fillId="0" borderId="29" xfId="0" applyFont="1" applyBorder="1" applyAlignment="1">
      <alignment horizontal="center" vertical="center"/>
    </xf>
    <xf numFmtId="37" fontId="34" fillId="8" borderId="67" xfId="0" applyFont="1" applyFill="1" applyBorder="1" applyAlignment="1">
      <alignment vertical="center"/>
    </xf>
    <xf numFmtId="169" fontId="13" fillId="8" borderId="41" xfId="106" applyNumberFormat="1" applyFont="1" applyFill="1" applyBorder="1" applyAlignment="1">
      <alignment horizontal="left" vertical="center"/>
    </xf>
    <xf numFmtId="39" fontId="30" fillId="0" borderId="30" xfId="0" applyNumberFormat="1" applyFont="1" applyBorder="1" applyAlignment="1">
      <alignment vertical="center"/>
    </xf>
    <xf numFmtId="168" fontId="11" fillId="0" borderId="55" xfId="0" applyNumberFormat="1" applyFont="1" applyBorder="1" applyAlignment="1">
      <alignment horizontal="right" vertical="center"/>
    </xf>
    <xf numFmtId="171" fontId="32" fillId="0" borderId="21" xfId="106" applyNumberFormat="1" applyFont="1" applyBorder="1" applyAlignment="1">
      <alignment horizontal="center" vertical="center"/>
    </xf>
    <xf numFmtId="168" fontId="30" fillId="0" borderId="20" xfId="0" applyNumberFormat="1" applyFont="1" applyBorder="1" applyAlignment="1">
      <alignment horizontal="right" vertical="center"/>
    </xf>
    <xf numFmtId="37" fontId="11" fillId="30" borderId="20" xfId="0" applyFont="1" applyFill="1" applyBorder="1" applyAlignment="1">
      <alignment horizontal="center" vertical="center"/>
    </xf>
    <xf numFmtId="9" fontId="34" fillId="0" borderId="0" xfId="86" applyFont="1" applyAlignment="1">
      <alignment/>
    </xf>
    <xf numFmtId="179" fontId="0" fillId="0" borderId="0" xfId="86" applyNumberFormat="1" applyFont="1" applyAlignment="1">
      <alignment/>
    </xf>
    <xf numFmtId="169" fontId="11" fillId="49" borderId="22" xfId="106" applyNumberFormat="1" applyFont="1" applyFill="1" applyBorder="1" applyAlignment="1">
      <alignment horizontal="right" vertical="center"/>
    </xf>
    <xf numFmtId="169" fontId="11" fillId="49" borderId="20" xfId="106" applyNumberFormat="1" applyFont="1" applyFill="1" applyBorder="1" applyAlignment="1">
      <alignment horizontal="right" vertical="center"/>
    </xf>
    <xf numFmtId="169" fontId="11" fillId="49" borderId="55" xfId="106" applyNumberFormat="1" applyFont="1" applyFill="1" applyBorder="1" applyAlignment="1">
      <alignment horizontal="right" vertical="center"/>
    </xf>
    <xf numFmtId="169" fontId="11" fillId="49" borderId="24" xfId="106" applyNumberFormat="1" applyFont="1" applyFill="1" applyBorder="1" applyAlignment="1">
      <alignment horizontal="right" vertical="center"/>
    </xf>
    <xf numFmtId="37" fontId="36" fillId="49" borderId="72" xfId="0" applyFont="1" applyFill="1" applyBorder="1" applyAlignment="1">
      <alignment horizontal="right" vertical="center" indent="1"/>
    </xf>
    <xf numFmtId="37" fontId="36" fillId="49" borderId="55" xfId="0" applyFont="1" applyFill="1" applyBorder="1" applyAlignment="1">
      <alignment horizontal="right" vertical="center" indent="1"/>
    </xf>
    <xf numFmtId="37" fontId="36" fillId="49" borderId="25" xfId="0" applyFont="1" applyFill="1" applyBorder="1" applyAlignment="1">
      <alignment horizontal="right" vertical="center" indent="1"/>
    </xf>
    <xf numFmtId="37" fontId="30" fillId="0" borderId="0" xfId="0" applyFont="1" applyAlignment="1">
      <alignment horizontal="center" vertical="center" wrapText="1"/>
    </xf>
    <xf numFmtId="39" fontId="7" fillId="0" borderId="0" xfId="0" applyNumberFormat="1" applyFont="1" applyAlignment="1">
      <alignment/>
    </xf>
    <xf numFmtId="165" fontId="9" fillId="0" borderId="0" xfId="106" applyFont="1" applyAlignment="1">
      <alignment/>
    </xf>
    <xf numFmtId="181" fontId="0" fillId="24" borderId="0" xfId="0" applyNumberFormat="1" applyFill="1" applyAlignment="1">
      <alignment/>
    </xf>
    <xf numFmtId="37" fontId="0" fillId="0" borderId="0" xfId="0" applyAlignment="1">
      <alignment horizontal="left"/>
    </xf>
    <xf numFmtId="184" fontId="0" fillId="0" borderId="0" xfId="0" applyNumberFormat="1" applyAlignment="1">
      <alignment/>
    </xf>
    <xf numFmtId="37" fontId="0" fillId="0" borderId="0" xfId="0" applyAlignment="1">
      <alignment horizontal="left" indent="1"/>
    </xf>
    <xf numFmtId="9" fontId="4" fillId="0" borderId="0" xfId="86" applyAlignment="1">
      <alignment/>
    </xf>
    <xf numFmtId="182" fontId="4" fillId="0" borderId="0" xfId="0" applyNumberFormat="1" applyFont="1" applyAlignment="1">
      <alignment/>
    </xf>
    <xf numFmtId="184" fontId="40" fillId="0" borderId="0" xfId="0" applyNumberFormat="1" applyFont="1" applyAlignment="1">
      <alignment/>
    </xf>
    <xf numFmtId="9" fontId="7" fillId="0" borderId="0" xfId="86" applyFont="1" applyAlignment="1">
      <alignment/>
    </xf>
    <xf numFmtId="171" fontId="31" fillId="0" borderId="0" xfId="106" applyNumberFormat="1" applyFont="1" applyAlignment="1">
      <alignment/>
    </xf>
    <xf numFmtId="37" fontId="0" fillId="50" borderId="29" xfId="0" applyFont="1" applyFill="1" applyBorder="1" applyAlignment="1">
      <alignment horizontal="center" vertical="center"/>
    </xf>
    <xf numFmtId="37" fontId="84" fillId="0" borderId="0" xfId="0" applyFont="1" applyAlignment="1">
      <alignment/>
    </xf>
    <xf numFmtId="9" fontId="31" fillId="0" borderId="0" xfId="86" applyFont="1" applyAlignment="1">
      <alignment/>
    </xf>
    <xf numFmtId="10" fontId="9" fillId="0" borderId="0" xfId="86" applyNumberFormat="1" applyFont="1" applyAlignment="1">
      <alignment/>
    </xf>
    <xf numFmtId="9" fontId="0" fillId="0" borderId="0" xfId="86" applyFont="1" applyAlignment="1">
      <alignment/>
    </xf>
    <xf numFmtId="37" fontId="85" fillId="0" borderId="0" xfId="0" applyFont="1" applyAlignment="1">
      <alignment/>
    </xf>
    <xf numFmtId="37" fontId="85" fillId="0" borderId="0" xfId="0" applyFont="1" applyAlignment="1">
      <alignment/>
    </xf>
    <xf numFmtId="39" fontId="85" fillId="0" borderId="0" xfId="0" applyNumberFormat="1" applyFont="1" applyAlignment="1">
      <alignment/>
    </xf>
    <xf numFmtId="203" fontId="11" fillId="0" borderId="55" xfId="0" applyNumberFormat="1" applyFont="1" applyBorder="1" applyAlignment="1">
      <alignment horizontal="right" vertical="center"/>
    </xf>
    <xf numFmtId="181" fontId="0" fillId="50" borderId="0" xfId="0" applyNumberFormat="1" applyFill="1" applyAlignment="1">
      <alignment/>
    </xf>
    <xf numFmtId="37" fontId="4" fillId="50" borderId="0" xfId="0" applyFont="1" applyFill="1" applyAlignment="1">
      <alignment/>
    </xf>
    <xf numFmtId="37" fontId="30" fillId="50" borderId="0" xfId="82" applyFont="1" applyFill="1" applyAlignment="1">
      <alignment vertical="center"/>
      <protection/>
    </xf>
    <xf numFmtId="10" fontId="30" fillId="50" borderId="0" xfId="86" applyNumberFormat="1" applyFont="1" applyFill="1" applyAlignment="1" applyProtection="1">
      <alignment horizontal="center" vertical="center"/>
      <protection locked="0"/>
    </xf>
    <xf numFmtId="37" fontId="30" fillId="50" borderId="20" xfId="82" applyFont="1" applyFill="1" applyBorder="1" applyAlignment="1">
      <alignment vertical="center"/>
      <protection/>
    </xf>
    <xf numFmtId="37" fontId="30" fillId="50" borderId="77" xfId="82" applyFont="1" applyFill="1" applyBorder="1" applyAlignment="1">
      <alignment vertical="center"/>
      <protection/>
    </xf>
    <xf numFmtId="37" fontId="7" fillId="0" borderId="78" xfId="0" applyFont="1" applyBorder="1" applyAlignment="1">
      <alignment/>
    </xf>
    <xf numFmtId="9" fontId="30" fillId="50" borderId="77" xfId="86" applyFont="1" applyFill="1" applyBorder="1" applyAlignment="1">
      <alignment vertical="center"/>
    </xf>
    <xf numFmtId="37" fontId="4" fillId="50" borderId="0" xfId="0" applyFont="1" applyFill="1" applyAlignment="1">
      <alignment/>
    </xf>
    <xf numFmtId="37" fontId="1" fillId="50" borderId="0" xfId="0" applyFont="1" applyFill="1" applyAlignment="1">
      <alignment horizontal="center"/>
    </xf>
    <xf numFmtId="196" fontId="4" fillId="0" borderId="0" xfId="0" applyNumberFormat="1" applyFont="1" applyAlignment="1">
      <alignment/>
    </xf>
    <xf numFmtId="10" fontId="30" fillId="50" borderId="0" xfId="86" applyNumberFormat="1" applyFont="1" applyFill="1" applyAlignment="1">
      <alignment vertical="center"/>
    </xf>
    <xf numFmtId="37" fontId="30" fillId="50" borderId="0" xfId="0" applyFont="1" applyFill="1" applyAlignment="1">
      <alignment vertical="center"/>
    </xf>
    <xf numFmtId="9" fontId="30" fillId="50" borderId="0" xfId="86" applyFont="1" applyFill="1" applyAlignment="1">
      <alignment vertical="center"/>
    </xf>
    <xf numFmtId="177" fontId="30" fillId="50" borderId="0" xfId="82" applyNumberFormat="1" applyFont="1" applyFill="1" applyAlignment="1">
      <alignment horizontal="right" vertical="center"/>
      <protection/>
    </xf>
    <xf numFmtId="37" fontId="7" fillId="50" borderId="0" xfId="0" applyFont="1" applyFill="1" applyAlignment="1">
      <alignment/>
    </xf>
    <xf numFmtId="178" fontId="4" fillId="50" borderId="0" xfId="77" applyNumberFormat="1" applyFill="1" applyAlignment="1">
      <alignment/>
    </xf>
    <xf numFmtId="178" fontId="7" fillId="50" borderId="0" xfId="77" applyNumberFormat="1" applyFont="1" applyFill="1" applyAlignment="1">
      <alignment/>
    </xf>
    <xf numFmtId="10" fontId="7" fillId="50" borderId="0" xfId="86" applyNumberFormat="1" applyFont="1" applyFill="1" applyAlignment="1">
      <alignment/>
    </xf>
    <xf numFmtId="4" fontId="30" fillId="0" borderId="28" xfId="0" applyNumberFormat="1" applyFont="1" applyBorder="1" applyAlignment="1">
      <alignment horizontal="right" vertical="center"/>
    </xf>
    <xf numFmtId="39" fontId="30" fillId="0" borderId="29" xfId="0" applyNumberFormat="1" applyFont="1" applyBorder="1" applyAlignment="1">
      <alignment vertical="center"/>
    </xf>
    <xf numFmtId="178" fontId="7" fillId="0" borderId="0" xfId="77" applyNumberFormat="1" applyFont="1" applyAlignment="1">
      <alignment/>
    </xf>
    <xf numFmtId="10" fontId="7" fillId="0" borderId="0" xfId="86" applyNumberFormat="1" applyFont="1" applyAlignment="1">
      <alignment/>
    </xf>
    <xf numFmtId="181" fontId="0" fillId="0" borderId="0" xfId="0" applyNumberFormat="1" applyFont="1" applyAlignment="1">
      <alignment/>
    </xf>
    <xf numFmtId="37" fontId="30" fillId="0" borderId="0" xfId="0" applyFont="1" applyAlignment="1">
      <alignment horizontal="right" vertical="center" indent="1"/>
    </xf>
    <xf numFmtId="181" fontId="0" fillId="50" borderId="0" xfId="0" applyNumberFormat="1" applyFont="1" applyFill="1" applyAlignment="1">
      <alignment/>
    </xf>
    <xf numFmtId="182" fontId="9" fillId="0" borderId="0" xfId="0" applyNumberFormat="1" applyFont="1" applyAlignment="1">
      <alignment/>
    </xf>
    <xf numFmtId="37" fontId="83" fillId="51" borderId="79" xfId="0" applyFont="1" applyFill="1" applyBorder="1" applyAlignment="1">
      <alignment/>
    </xf>
    <xf numFmtId="3" fontId="0" fillId="0" borderId="0" xfId="0" applyNumberFormat="1" applyAlignment="1">
      <alignment horizontal="left"/>
    </xf>
    <xf numFmtId="169" fontId="0" fillId="0" borderId="0" xfId="106" applyNumberFormat="1" applyFont="1" applyAlignment="1">
      <alignment/>
    </xf>
    <xf numFmtId="37" fontId="7" fillId="0" borderId="74" xfId="0" applyFont="1" applyBorder="1" applyAlignment="1">
      <alignment horizontal="center" vertical="center"/>
    </xf>
    <xf numFmtId="10" fontId="7" fillId="0" borderId="74" xfId="86" applyNumberFormat="1" applyFont="1" applyBorder="1" applyAlignment="1">
      <alignment horizontal="center" vertical="center"/>
    </xf>
    <xf numFmtId="178" fontId="7" fillId="50" borderId="0" xfId="0" applyNumberFormat="1" applyFont="1" applyFill="1" applyAlignment="1">
      <alignment/>
    </xf>
    <xf numFmtId="4" fontId="30" fillId="0" borderId="0" xfId="0" applyNumberFormat="1" applyFont="1" applyAlignment="1">
      <alignment horizontal="right" vertical="center"/>
    </xf>
    <xf numFmtId="37" fontId="11" fillId="0" borderId="61" xfId="0" applyFont="1" applyBorder="1" applyAlignment="1">
      <alignment horizontal="left" vertical="center" indent="1"/>
    </xf>
    <xf numFmtId="3" fontId="31" fillId="0" borderId="80" xfId="106" applyNumberFormat="1" applyFont="1" applyBorder="1" applyAlignment="1">
      <alignment horizontal="center" vertical="center"/>
    </xf>
    <xf numFmtId="3" fontId="31" fillId="0" borderId="61" xfId="106" applyNumberFormat="1" applyFont="1" applyBorder="1" applyAlignment="1">
      <alignment horizontal="center" vertical="center"/>
    </xf>
    <xf numFmtId="37" fontId="33" fillId="0" borderId="0" xfId="0" applyFont="1" applyAlignment="1">
      <alignment vertical="center" wrapText="1"/>
    </xf>
    <xf numFmtId="1" fontId="33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horizontal="center" vertical="center"/>
    </xf>
    <xf numFmtId="37" fontId="0" fillId="0" borderId="0" xfId="0" applyFont="1" applyAlignment="1">
      <alignment horizontal="center" vertical="center"/>
    </xf>
    <xf numFmtId="169" fontId="13" fillId="0" borderId="0" xfId="106" applyNumberFormat="1" applyFont="1" applyAlignment="1">
      <alignment horizontal="left" vertical="center"/>
    </xf>
    <xf numFmtId="37" fontId="0" fillId="50" borderId="41" xfId="0" applyFont="1" applyFill="1" applyBorder="1" applyAlignment="1">
      <alignment horizontal="center" vertical="center"/>
    </xf>
    <xf numFmtId="207" fontId="4" fillId="50" borderId="0" xfId="0" applyNumberFormat="1" applyFont="1" applyFill="1" applyAlignment="1">
      <alignment/>
    </xf>
    <xf numFmtId="207" fontId="9" fillId="0" borderId="0" xfId="0" applyNumberFormat="1" applyFont="1" applyAlignment="1">
      <alignment/>
    </xf>
    <xf numFmtId="39" fontId="11" fillId="0" borderId="0" xfId="0" applyNumberFormat="1" applyFont="1" applyAlignment="1">
      <alignment/>
    </xf>
    <xf numFmtId="37" fontId="34" fillId="0" borderId="0" xfId="0" applyFont="1" applyAlignment="1">
      <alignment vertical="center"/>
    </xf>
    <xf numFmtId="165" fontId="11" fillId="0" borderId="0" xfId="106" applyFont="1" applyAlignment="1">
      <alignment vertical="center"/>
    </xf>
    <xf numFmtId="169" fontId="13" fillId="50" borderId="0" xfId="106" applyNumberFormat="1" applyFont="1" applyFill="1" applyBorder="1" applyAlignment="1">
      <alignment horizontal="left" vertical="center"/>
    </xf>
    <xf numFmtId="37" fontId="4" fillId="0" borderId="0" xfId="0" applyFont="1" applyAlignment="1">
      <alignment horizontal="center" vertical="center"/>
    </xf>
    <xf numFmtId="182" fontId="4" fillId="0" borderId="77" xfId="0" applyNumberFormat="1" applyFont="1" applyBorder="1" applyAlignment="1">
      <alignment/>
    </xf>
    <xf numFmtId="207" fontId="7" fillId="50" borderId="20" xfId="0" applyNumberFormat="1" applyFont="1" applyFill="1" applyBorder="1" applyAlignment="1">
      <alignment/>
    </xf>
    <xf numFmtId="207" fontId="7" fillId="50" borderId="77" xfId="0" applyNumberFormat="1" applyFont="1" applyFill="1" applyBorder="1" applyAlignment="1">
      <alignment/>
    </xf>
    <xf numFmtId="37" fontId="30" fillId="0" borderId="19" xfId="0" applyFont="1" applyBorder="1" applyAlignment="1">
      <alignment vertical="center"/>
    </xf>
    <xf numFmtId="37" fontId="30" fillId="0" borderId="23" xfId="0" applyFont="1" applyBorder="1" applyAlignment="1">
      <alignment vertical="center"/>
    </xf>
    <xf numFmtId="37" fontId="30" fillId="0" borderId="21" xfId="0" applyFont="1" applyBorder="1" applyAlignment="1">
      <alignment vertical="center"/>
    </xf>
    <xf numFmtId="4" fontId="11" fillId="0" borderId="55" xfId="106" applyNumberFormat="1" applyFont="1" applyBorder="1" applyAlignment="1">
      <alignment horizontal="right" vertical="center"/>
    </xf>
    <xf numFmtId="4" fontId="11" fillId="0" borderId="25" xfId="106" applyNumberFormat="1" applyFont="1" applyBorder="1" applyAlignment="1">
      <alignment horizontal="right" vertical="center"/>
    </xf>
    <xf numFmtId="37" fontId="30" fillId="0" borderId="51" xfId="0" applyFont="1" applyBorder="1" applyAlignment="1">
      <alignment vertical="center"/>
    </xf>
    <xf numFmtId="3" fontId="11" fillId="0" borderId="53" xfId="0" applyNumberFormat="1" applyFont="1" applyBorder="1" applyAlignment="1">
      <alignment horizontal="right" vertical="center"/>
    </xf>
    <xf numFmtId="4" fontId="11" fillId="0" borderId="54" xfId="0" applyNumberFormat="1" applyFont="1" applyBorder="1" applyAlignment="1">
      <alignment horizontal="right" vertical="center"/>
    </xf>
    <xf numFmtId="37" fontId="30" fillId="0" borderId="19" xfId="0" applyFont="1" applyBorder="1" applyAlignment="1" quotePrefix="1">
      <alignment vertical="center"/>
    </xf>
    <xf numFmtId="4" fontId="11" fillId="0" borderId="55" xfId="0" applyNumberFormat="1" applyFont="1" applyBorder="1" applyAlignment="1">
      <alignment horizontal="right" vertical="center"/>
    </xf>
    <xf numFmtId="3" fontId="11" fillId="0" borderId="25" xfId="0" applyNumberFormat="1" applyFont="1" applyBorder="1" applyAlignment="1">
      <alignment horizontal="right" vertical="center"/>
    </xf>
    <xf numFmtId="173" fontId="30" fillId="0" borderId="81" xfId="0" applyNumberFormat="1" applyFont="1" applyBorder="1" applyAlignment="1">
      <alignment vertical="center"/>
    </xf>
    <xf numFmtId="37" fontId="30" fillId="0" borderId="82" xfId="0" applyFont="1" applyBorder="1" applyAlignment="1">
      <alignment vertical="center"/>
    </xf>
    <xf numFmtId="37" fontId="30" fillId="0" borderId="83" xfId="0" applyFont="1" applyBorder="1" applyAlignment="1">
      <alignment vertical="center"/>
    </xf>
    <xf numFmtId="4" fontId="11" fillId="0" borderId="84" xfId="106" applyNumberFormat="1" applyFont="1" applyBorder="1" applyAlignment="1">
      <alignment horizontal="right" vertical="center"/>
    </xf>
    <xf numFmtId="37" fontId="0" fillId="0" borderId="85" xfId="0" applyBorder="1" applyAlignment="1">
      <alignment vertical="top"/>
    </xf>
    <xf numFmtId="37" fontId="0" fillId="0" borderId="86" xfId="0" applyBorder="1" applyAlignment="1">
      <alignment vertical="top"/>
    </xf>
    <xf numFmtId="0" fontId="0" fillId="0" borderId="86" xfId="0" applyNumberFormat="1" applyBorder="1" applyAlignment="1">
      <alignment vertical="top"/>
    </xf>
    <xf numFmtId="37" fontId="0" fillId="0" borderId="87" xfId="0" applyBorder="1" applyAlignment="1">
      <alignment vertical="top"/>
    </xf>
    <xf numFmtId="0" fontId="0" fillId="0" borderId="88" xfId="0" applyNumberFormat="1" applyBorder="1" applyAlignment="1">
      <alignment vertical="top"/>
    </xf>
    <xf numFmtId="37" fontId="0" fillId="0" borderId="89" xfId="0" applyBorder="1" applyAlignment="1">
      <alignment vertical="top"/>
    </xf>
    <xf numFmtId="0" fontId="0" fillId="0" borderId="90" xfId="0" applyNumberFormat="1" applyBorder="1" applyAlignment="1">
      <alignment vertical="top"/>
    </xf>
    <xf numFmtId="37" fontId="0" fillId="0" borderId="85" xfId="0" applyBorder="1" applyAlignment="1">
      <alignment vertical="top"/>
    </xf>
    <xf numFmtId="37" fontId="0" fillId="0" borderId="86" xfId="0" applyBorder="1" applyAlignment="1">
      <alignment vertical="top"/>
    </xf>
    <xf numFmtId="37" fontId="0" fillId="0" borderId="0" xfId="0" applyAlignment="1">
      <alignment/>
    </xf>
    <xf numFmtId="10" fontId="0" fillId="0" borderId="0" xfId="86" applyNumberFormat="1" applyFont="1" applyAlignment="1">
      <alignment/>
    </xf>
    <xf numFmtId="37" fontId="0" fillId="0" borderId="0" xfId="0" applyBorder="1" applyAlignment="1">
      <alignment/>
    </xf>
    <xf numFmtId="37" fontId="86" fillId="0" borderId="0" xfId="0" applyFont="1" applyBorder="1" applyAlignment="1">
      <alignment horizontal="center" vertical="center" wrapText="1"/>
    </xf>
    <xf numFmtId="37" fontId="44" fillId="0" borderId="0" xfId="0" applyFont="1" applyBorder="1" applyAlignment="1">
      <alignment horizontal="center" vertical="center" wrapText="1"/>
    </xf>
    <xf numFmtId="39" fontId="30" fillId="0" borderId="0" xfId="0" applyNumberFormat="1" applyFont="1" applyBorder="1" applyAlignment="1">
      <alignment horizontal="center" vertical="center"/>
    </xf>
    <xf numFmtId="39" fontId="9" fillId="0" borderId="0" xfId="0" applyNumberFormat="1" applyFont="1" applyAlignment="1">
      <alignment/>
    </xf>
    <xf numFmtId="37" fontId="0" fillId="0" borderId="0" xfId="0" applyFill="1" applyBorder="1" applyAlignment="1">
      <alignment/>
    </xf>
    <xf numFmtId="39" fontId="0" fillId="0" borderId="0" xfId="0" applyNumberFormat="1" applyFill="1" applyBorder="1" applyAlignment="1">
      <alignment/>
    </xf>
    <xf numFmtId="4" fontId="11" fillId="0" borderId="0" xfId="106" applyNumberFormat="1" applyFont="1" applyFill="1" applyBorder="1" applyAlignment="1">
      <alignment horizontal="right" vertical="center"/>
    </xf>
    <xf numFmtId="37" fontId="33" fillId="0" borderId="0" xfId="0" applyFont="1" applyAlignment="1">
      <alignment vertical="center"/>
    </xf>
    <xf numFmtId="37" fontId="33" fillId="0" borderId="0" xfId="0" applyFont="1" applyAlignment="1">
      <alignment vertical="center"/>
    </xf>
    <xf numFmtId="37" fontId="0" fillId="0" borderId="0" xfId="0" applyBorder="1" applyAlignment="1">
      <alignment horizontal="center"/>
    </xf>
    <xf numFmtId="0" fontId="30" fillId="0" borderId="43" xfId="0" applyNumberFormat="1" applyFont="1" applyFill="1" applyBorder="1" applyAlignment="1">
      <alignment horizontal="center" vertical="center"/>
    </xf>
    <xf numFmtId="37" fontId="30" fillId="0" borderId="19" xfId="0" applyFont="1" applyFill="1" applyBorder="1" applyAlignment="1">
      <alignment horizontal="right" vertical="center" indent="1"/>
    </xf>
    <xf numFmtId="37" fontId="30" fillId="0" borderId="20" xfId="0" applyFont="1" applyFill="1" applyBorder="1" applyAlignment="1">
      <alignment horizontal="right" vertical="center" indent="1"/>
    </xf>
    <xf numFmtId="37" fontId="33" fillId="0" borderId="28" xfId="0" applyFont="1" applyFill="1" applyBorder="1" applyAlignment="1">
      <alignment horizontal="right" vertical="center" indent="1"/>
    </xf>
    <xf numFmtId="17" fontId="11" fillId="0" borderId="0" xfId="0" applyNumberFormat="1" applyFont="1" applyBorder="1" applyAlignment="1">
      <alignment horizontal="left" vertical="center" indent="1"/>
    </xf>
    <xf numFmtId="37" fontId="11" fillId="30" borderId="0" xfId="0" applyFont="1" applyFill="1" applyBorder="1" applyAlignment="1">
      <alignment horizontal="center" vertical="center"/>
    </xf>
    <xf numFmtId="37" fontId="11" fillId="0" borderId="0" xfId="0" applyFont="1" applyBorder="1" applyAlignment="1">
      <alignment horizontal="center" vertical="center"/>
    </xf>
    <xf numFmtId="37" fontId="11" fillId="0" borderId="0" xfId="0" applyFont="1" applyFill="1" applyBorder="1" applyAlignment="1">
      <alignment horizontal="center" vertical="center"/>
    </xf>
    <xf numFmtId="37" fontId="33" fillId="0" borderId="0" xfId="0" applyFont="1" applyFill="1" applyBorder="1" applyAlignment="1">
      <alignment horizontal="center" vertical="center" wrapText="1"/>
    </xf>
    <xf numFmtId="169" fontId="11" fillId="49" borderId="54" xfId="106" applyNumberFormat="1" applyFont="1" applyFill="1" applyBorder="1" applyAlignment="1">
      <alignment horizontal="right" vertical="center"/>
    </xf>
    <xf numFmtId="181" fontId="0" fillId="24" borderId="0" xfId="0" applyNumberFormat="1" applyFont="1" applyFill="1" applyAlignment="1">
      <alignment/>
    </xf>
    <xf numFmtId="37" fontId="37" fillId="15" borderId="50" xfId="0" applyFont="1" applyFill="1" applyBorder="1" applyAlignment="1">
      <alignment horizontal="left" vertical="center" indent="1"/>
    </xf>
    <xf numFmtId="186" fontId="0" fillId="0" borderId="91" xfId="0" applyNumberFormat="1" applyBorder="1" applyAlignment="1">
      <alignment/>
    </xf>
    <xf numFmtId="186" fontId="0" fillId="0" borderId="91" xfId="0" applyNumberFormat="1" applyBorder="1" applyAlignment="1">
      <alignment/>
    </xf>
    <xf numFmtId="39" fontId="0" fillId="0" borderId="92" xfId="0" applyNumberFormat="1" applyBorder="1" applyAlignment="1">
      <alignment/>
    </xf>
    <xf numFmtId="1" fontId="30" fillId="50" borderId="0" xfId="86" applyNumberFormat="1" applyFont="1" applyFill="1" applyAlignment="1">
      <alignment vertical="center" wrapText="1"/>
    </xf>
    <xf numFmtId="37" fontId="0" fillId="0" borderId="0" xfId="0" applyFont="1" applyFill="1" applyBorder="1" applyAlignment="1">
      <alignment horizontal="center" vertical="center"/>
    </xf>
    <xf numFmtId="37" fontId="0" fillId="0" borderId="0" xfId="0" applyAlignment="1">
      <alignment horizontal="center"/>
    </xf>
    <xf numFmtId="17" fontId="11" fillId="0" borderId="33" xfId="0" applyNumberFormat="1" applyFont="1" applyBorder="1" applyAlignment="1">
      <alignment horizontal="center" vertical="top"/>
    </xf>
    <xf numFmtId="37" fontId="33" fillId="52" borderId="43" xfId="0" applyFont="1" applyFill="1" applyBorder="1" applyAlignment="1">
      <alignment vertical="center" wrapText="1"/>
    </xf>
    <xf numFmtId="49" fontId="33" fillId="52" borderId="43" xfId="0" applyNumberFormat="1" applyFont="1" applyFill="1" applyBorder="1" applyAlignment="1">
      <alignment horizontal="center" vertical="center" wrapText="1"/>
    </xf>
    <xf numFmtId="198" fontId="11" fillId="49" borderId="58" xfId="106" applyNumberFormat="1" applyFont="1" applyFill="1" applyBorder="1" applyAlignment="1">
      <alignment horizontal="right" vertical="center"/>
    </xf>
    <xf numFmtId="37" fontId="34" fillId="52" borderId="42" xfId="0" applyFont="1" applyFill="1" applyBorder="1" applyAlignment="1">
      <alignment vertical="center"/>
    </xf>
    <xf numFmtId="165" fontId="11" fillId="52" borderId="42" xfId="106" applyFont="1" applyFill="1" applyBorder="1" applyAlignment="1">
      <alignment vertical="center"/>
    </xf>
    <xf numFmtId="37" fontId="11" fillId="52" borderId="0" xfId="0" applyFont="1" applyFill="1" applyAlignment="1">
      <alignment vertical="center"/>
    </xf>
    <xf numFmtId="37" fontId="34" fillId="52" borderId="67" xfId="0" applyFont="1" applyFill="1" applyBorder="1" applyAlignment="1">
      <alignment vertical="center"/>
    </xf>
    <xf numFmtId="168" fontId="11" fillId="52" borderId="0" xfId="0" applyNumberFormat="1" applyFont="1" applyFill="1" applyAlignment="1">
      <alignment vertical="center"/>
    </xf>
    <xf numFmtId="177" fontId="87" fillId="52" borderId="41" xfId="106" applyNumberFormat="1" applyFont="1" applyFill="1" applyBorder="1" applyAlignment="1">
      <alignment horizontal="right" vertical="center"/>
    </xf>
    <xf numFmtId="37" fontId="38" fillId="52" borderId="42" xfId="0" applyFont="1" applyFill="1" applyBorder="1" applyAlignment="1">
      <alignment vertical="center"/>
    </xf>
    <xf numFmtId="37" fontId="38" fillId="52" borderId="0" xfId="0" applyFont="1" applyFill="1" applyAlignment="1">
      <alignment horizontal="center" vertical="center"/>
    </xf>
    <xf numFmtId="39" fontId="30" fillId="50" borderId="0" xfId="82" applyNumberFormat="1" applyFont="1" applyFill="1" applyAlignment="1">
      <alignment vertical="center"/>
      <protection/>
    </xf>
    <xf numFmtId="37" fontId="30" fillId="52" borderId="59" xfId="0" applyFont="1" applyFill="1" applyBorder="1" applyAlignment="1">
      <alignment vertical="center"/>
    </xf>
    <xf numFmtId="4" fontId="30" fillId="52" borderId="28" xfId="0" applyNumberFormat="1" applyFont="1" applyFill="1" applyBorder="1" applyAlignment="1">
      <alignment horizontal="right" vertical="center"/>
    </xf>
    <xf numFmtId="37" fontId="30" fillId="52" borderId="33" xfId="0" applyFont="1" applyFill="1" applyBorder="1" applyAlignment="1">
      <alignment vertical="center"/>
    </xf>
    <xf numFmtId="37" fontId="30" fillId="52" borderId="60" xfId="0" applyFont="1" applyFill="1" applyBorder="1" applyAlignment="1">
      <alignment vertical="center"/>
    </xf>
    <xf numFmtId="39" fontId="30" fillId="52" borderId="30" xfId="0" applyNumberFormat="1" applyFont="1" applyFill="1" applyBorder="1" applyAlignment="1">
      <alignment vertical="center"/>
    </xf>
    <xf numFmtId="3" fontId="88" fillId="0" borderId="0" xfId="0" applyNumberFormat="1" applyFont="1" applyBorder="1" applyAlignment="1">
      <alignment horizontal="center" vertical="center"/>
    </xf>
    <xf numFmtId="37" fontId="88" fillId="0" borderId="0" xfId="0" applyFont="1" applyBorder="1" applyAlignment="1">
      <alignment horizontal="center" vertical="center"/>
    </xf>
    <xf numFmtId="195" fontId="88" fillId="0" borderId="0" xfId="0" applyNumberFormat="1" applyFont="1" applyBorder="1" applyAlignment="1">
      <alignment horizontal="center" vertical="center"/>
    </xf>
    <xf numFmtId="37" fontId="31" fillId="50" borderId="0" xfId="0" applyFont="1" applyFill="1" applyAlignment="1">
      <alignment vertical="center"/>
    </xf>
    <xf numFmtId="17" fontId="11" fillId="0" borderId="19" xfId="0" applyNumberFormat="1" applyFont="1" applyBorder="1" applyAlignment="1">
      <alignment horizontal="left" vertical="center" indent="1"/>
    </xf>
    <xf numFmtId="37" fontId="11" fillId="0" borderId="93" xfId="0" applyFont="1" applyBorder="1" applyAlignment="1">
      <alignment horizontal="center" vertical="center"/>
    </xf>
    <xf numFmtId="37" fontId="11" fillId="8" borderId="50" xfId="0" applyFont="1" applyFill="1" applyBorder="1" applyAlignment="1">
      <alignment horizontal="center" vertical="center"/>
    </xf>
    <xf numFmtId="37" fontId="11" fillId="8" borderId="51" xfId="0" applyFont="1" applyFill="1" applyBorder="1" applyAlignment="1">
      <alignment horizontal="center" vertical="center"/>
    </xf>
    <xf numFmtId="37" fontId="11" fillId="8" borderId="52" xfId="0" applyFont="1" applyFill="1" applyBorder="1" applyAlignment="1">
      <alignment horizontal="center" vertical="center"/>
    </xf>
    <xf numFmtId="37" fontId="11" fillId="8" borderId="45" xfId="0" applyFont="1" applyFill="1" applyBorder="1" applyAlignment="1">
      <alignment horizontal="center" vertical="center"/>
    </xf>
    <xf numFmtId="37" fontId="11" fillId="8" borderId="74" xfId="0" applyFont="1" applyFill="1" applyBorder="1" applyAlignment="1">
      <alignment horizontal="center" vertical="center"/>
    </xf>
    <xf numFmtId="37" fontId="33" fillId="52" borderId="50" xfId="0" applyFont="1" applyFill="1" applyBorder="1" applyAlignment="1">
      <alignment horizontal="center" vertical="center" wrapText="1"/>
    </xf>
    <xf numFmtId="37" fontId="33" fillId="52" borderId="51" xfId="0" applyFont="1" applyFill="1" applyBorder="1" applyAlignment="1">
      <alignment horizontal="center" vertical="center" wrapText="1"/>
    </xf>
    <xf numFmtId="37" fontId="33" fillId="52" borderId="52" xfId="0" applyFont="1" applyFill="1" applyBorder="1" applyAlignment="1">
      <alignment horizontal="center" vertical="center" wrapText="1"/>
    </xf>
    <xf numFmtId="37" fontId="33" fillId="52" borderId="45" xfId="0" applyFont="1" applyFill="1" applyBorder="1" applyAlignment="1">
      <alignment horizontal="center" vertical="center" wrapText="1"/>
    </xf>
    <xf numFmtId="37" fontId="33" fillId="52" borderId="74" xfId="0" applyFont="1" applyFill="1" applyBorder="1" applyAlignment="1">
      <alignment horizontal="center" vertical="center" wrapText="1"/>
    </xf>
    <xf numFmtId="37" fontId="0" fillId="52" borderId="0" xfId="0" applyFill="1" applyAlignment="1">
      <alignment/>
    </xf>
    <xf numFmtId="37" fontId="11" fillId="53" borderId="0" xfId="0" applyFont="1" applyFill="1" applyAlignment="1">
      <alignment vertical="center"/>
    </xf>
    <xf numFmtId="37" fontId="30" fillId="53" borderId="0" xfId="0" applyFont="1" applyFill="1" applyAlignment="1">
      <alignment vertical="center"/>
    </xf>
    <xf numFmtId="37" fontId="89" fillId="0" borderId="0" xfId="0" applyFont="1" applyAlignment="1">
      <alignment/>
    </xf>
    <xf numFmtId="177" fontId="30" fillId="50" borderId="20" xfId="82" applyNumberFormat="1" applyFont="1" applyFill="1" applyBorder="1" applyAlignment="1">
      <alignment horizontal="right" vertical="center"/>
      <protection/>
    </xf>
    <xf numFmtId="0" fontId="45" fillId="30" borderId="0" xfId="0" applyNumberFormat="1" applyFont="1" applyFill="1" applyBorder="1" applyAlignment="1">
      <alignment horizontal="center" vertical="center"/>
    </xf>
    <xf numFmtId="37" fontId="45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37" fontId="4" fillId="0" borderId="0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37" fontId="88" fillId="0" borderId="0" xfId="0" applyFont="1" applyFill="1" applyBorder="1" applyAlignment="1">
      <alignment horizontal="center" vertical="center"/>
    </xf>
    <xf numFmtId="37" fontId="33" fillId="52" borderId="0" xfId="0" applyFont="1" applyFill="1" applyBorder="1" applyAlignment="1">
      <alignment horizontal="center" vertical="center" wrapText="1"/>
    </xf>
    <xf numFmtId="165" fontId="30" fillId="19" borderId="19" xfId="106" applyFont="1" applyFill="1" applyBorder="1" applyAlignment="1">
      <alignment horizontal="right" vertical="center"/>
    </xf>
    <xf numFmtId="37" fontId="30" fillId="19" borderId="59" xfId="0" applyFont="1" applyFill="1" applyBorder="1" applyAlignment="1">
      <alignment vertical="center"/>
    </xf>
    <xf numFmtId="4" fontId="30" fillId="19" borderId="28" xfId="0" applyNumberFormat="1" applyFont="1" applyFill="1" applyBorder="1" applyAlignment="1">
      <alignment horizontal="right" vertical="center"/>
    </xf>
    <xf numFmtId="37" fontId="30" fillId="19" borderId="33" xfId="0" applyFont="1" applyFill="1" applyBorder="1" applyAlignment="1">
      <alignment vertical="center"/>
    </xf>
    <xf numFmtId="0" fontId="30" fillId="52" borderId="50" xfId="0" applyNumberFormat="1" applyFont="1" applyFill="1" applyBorder="1" applyAlignment="1">
      <alignment horizontal="center" vertical="center"/>
    </xf>
    <xf numFmtId="39" fontId="11" fillId="52" borderId="51" xfId="0" applyNumberFormat="1" applyFont="1" applyFill="1" applyBorder="1" applyAlignment="1">
      <alignment horizontal="right" vertical="center" indent="1"/>
    </xf>
    <xf numFmtId="37" fontId="88" fillId="50" borderId="29" xfId="0" applyFont="1" applyFill="1" applyBorder="1" applyAlignment="1">
      <alignment horizontal="center" vertical="center"/>
    </xf>
    <xf numFmtId="37" fontId="88" fillId="0" borderId="41" xfId="0" applyFont="1" applyBorder="1" applyAlignment="1">
      <alignment horizontal="center" vertical="center"/>
    </xf>
    <xf numFmtId="37" fontId="88" fillId="50" borderId="41" xfId="0" applyFont="1" applyFill="1" applyBorder="1" applyAlignment="1">
      <alignment horizontal="center" vertical="center"/>
    </xf>
    <xf numFmtId="3" fontId="0" fillId="50" borderId="29" xfId="0" applyNumberFormat="1" applyFont="1" applyFill="1" applyBorder="1" applyAlignment="1">
      <alignment horizontal="center" vertical="center"/>
    </xf>
    <xf numFmtId="37" fontId="31" fillId="52" borderId="0" xfId="0" applyNumberFormat="1" applyFont="1" applyFill="1" applyAlignment="1">
      <alignment vertical="center"/>
    </xf>
    <xf numFmtId="165" fontId="30" fillId="11" borderId="19" xfId="106" applyFont="1" applyFill="1" applyBorder="1" applyAlignment="1">
      <alignment horizontal="right" vertical="center"/>
    </xf>
    <xf numFmtId="165" fontId="30" fillId="11" borderId="20" xfId="106" applyFont="1" applyFill="1" applyBorder="1" applyAlignment="1">
      <alignment horizontal="right" vertical="center"/>
    </xf>
    <xf numFmtId="165" fontId="30" fillId="19" borderId="19" xfId="106" applyFont="1" applyFill="1" applyBorder="1" applyAlignment="1">
      <alignment vertical="center"/>
    </xf>
    <xf numFmtId="165" fontId="30" fillId="19" borderId="20" xfId="106" applyFont="1" applyFill="1" applyBorder="1" applyAlignment="1">
      <alignment vertical="center"/>
    </xf>
    <xf numFmtId="37" fontId="90" fillId="0" borderId="59" xfId="0" applyFont="1" applyBorder="1" applyAlignment="1">
      <alignment vertical="center"/>
    </xf>
    <xf numFmtId="37" fontId="90" fillId="0" borderId="29" xfId="0" applyFont="1" applyBorder="1" applyAlignment="1">
      <alignment vertical="center"/>
    </xf>
    <xf numFmtId="37" fontId="90" fillId="0" borderId="33" xfId="0" applyFont="1" applyBorder="1" applyAlignment="1">
      <alignment vertical="center"/>
    </xf>
    <xf numFmtId="39" fontId="90" fillId="0" borderId="29" xfId="0" applyNumberFormat="1" applyFont="1" applyBorder="1" applyAlignment="1">
      <alignment vertical="center"/>
    </xf>
    <xf numFmtId="37" fontId="90" fillId="0" borderId="60" xfId="0" applyFont="1" applyBorder="1" applyAlignment="1">
      <alignment vertical="center"/>
    </xf>
    <xf numFmtId="39" fontId="90" fillId="0" borderId="30" xfId="0" applyNumberFormat="1" applyFont="1" applyBorder="1" applyAlignment="1">
      <alignment vertical="center"/>
    </xf>
    <xf numFmtId="37" fontId="0" fillId="0" borderId="94" xfId="0" applyBorder="1" applyAlignment="1">
      <alignment/>
    </xf>
    <xf numFmtId="37" fontId="0" fillId="0" borderId="95" xfId="0" applyBorder="1" applyAlignment="1">
      <alignment/>
    </xf>
    <xf numFmtId="37" fontId="0" fillId="0" borderId="96" xfId="0" applyBorder="1" applyAlignment="1">
      <alignment/>
    </xf>
    <xf numFmtId="37" fontId="0" fillId="0" borderId="97" xfId="0" applyBorder="1" applyAlignment="1">
      <alignment/>
    </xf>
    <xf numFmtId="37" fontId="0" fillId="0" borderId="98" xfId="0" applyBorder="1" applyAlignment="1">
      <alignment/>
    </xf>
    <xf numFmtId="37" fontId="0" fillId="0" borderId="99" xfId="0" applyBorder="1" applyAlignment="1">
      <alignment/>
    </xf>
    <xf numFmtId="37" fontId="0" fillId="0" borderId="100" xfId="0" applyBorder="1" applyAlignment="1">
      <alignment/>
    </xf>
    <xf numFmtId="39" fontId="0" fillId="0" borderId="99" xfId="0" applyNumberFormat="1" applyBorder="1" applyAlignment="1">
      <alignment/>
    </xf>
    <xf numFmtId="37" fontId="44" fillId="0" borderId="98" xfId="0" applyFont="1" applyBorder="1" applyAlignment="1">
      <alignment horizontal="center" vertical="center" wrapText="1"/>
    </xf>
    <xf numFmtId="37" fontId="44" fillId="0" borderId="101" xfId="0" applyFont="1" applyBorder="1" applyAlignment="1">
      <alignment horizontal="center" vertical="center" wrapText="1"/>
    </xf>
    <xf numFmtId="37" fontId="44" fillId="0" borderId="102" xfId="0" applyFont="1" applyBorder="1" applyAlignment="1">
      <alignment horizontal="center" vertical="center" wrapText="1"/>
    </xf>
    <xf numFmtId="17" fontId="11" fillId="52" borderId="0" xfId="0" applyNumberFormat="1" applyFont="1" applyFill="1" applyBorder="1" applyAlignment="1">
      <alignment horizontal="left" vertical="center" indent="1"/>
    </xf>
    <xf numFmtId="37" fontId="11" fillId="52" borderId="0" xfId="0" applyFont="1" applyFill="1" applyBorder="1" applyAlignment="1">
      <alignment horizontal="center" vertical="center"/>
    </xf>
    <xf numFmtId="37" fontId="91" fillId="0" borderId="97" xfId="0" applyFont="1" applyBorder="1" applyAlignment="1">
      <alignment horizontal="center" vertical="center"/>
    </xf>
    <xf numFmtId="37" fontId="91" fillId="0" borderId="103" xfId="0" applyFont="1" applyBorder="1" applyAlignment="1">
      <alignment horizontal="center" vertical="center"/>
    </xf>
    <xf numFmtId="37" fontId="91" fillId="0" borderId="100" xfId="0" applyFont="1" applyBorder="1" applyAlignment="1">
      <alignment horizontal="center" vertical="center"/>
    </xf>
    <xf numFmtId="37" fontId="44" fillId="54" borderId="0" xfId="0" applyFont="1" applyFill="1" applyBorder="1" applyAlignment="1">
      <alignment horizontal="center" vertical="center" wrapText="1"/>
    </xf>
    <xf numFmtId="3" fontId="31" fillId="0" borderId="19" xfId="106" applyNumberFormat="1" applyFont="1" applyBorder="1" applyAlignment="1">
      <alignment horizontal="center" vertical="center"/>
    </xf>
    <xf numFmtId="3" fontId="31" fillId="0" borderId="29" xfId="106" applyNumberFormat="1" applyFont="1" applyBorder="1" applyAlignment="1">
      <alignment horizontal="center" vertical="center"/>
    </xf>
    <xf numFmtId="4" fontId="11" fillId="50" borderId="28" xfId="106" applyNumberFormat="1" applyFont="1" applyFill="1" applyBorder="1" applyAlignment="1">
      <alignment horizontal="right" vertical="center"/>
    </xf>
    <xf numFmtId="176" fontId="34" fillId="0" borderId="0" xfId="0" applyNumberFormat="1" applyFont="1" applyAlignment="1">
      <alignment/>
    </xf>
    <xf numFmtId="3" fontId="92" fillId="0" borderId="20" xfId="106" applyNumberFormat="1" applyFont="1" applyBorder="1" applyAlignment="1">
      <alignment horizontal="center" vertical="center" shrinkToFit="1"/>
    </xf>
    <xf numFmtId="37" fontId="93" fillId="0" borderId="56" xfId="0" applyFont="1" applyBorder="1" applyAlignment="1">
      <alignment horizontal="left" vertical="center" indent="1"/>
    </xf>
    <xf numFmtId="37" fontId="92" fillId="0" borderId="20" xfId="0" applyFont="1" applyBorder="1" applyAlignment="1">
      <alignment horizontal="center" vertical="center"/>
    </xf>
    <xf numFmtId="37" fontId="0" fillId="0" borderId="95" xfId="0" applyBorder="1" applyAlignment="1">
      <alignment horizontal="center"/>
    </xf>
    <xf numFmtId="37" fontId="0" fillId="0" borderId="0" xfId="0" applyAlignment="1">
      <alignment horizontal="center"/>
    </xf>
    <xf numFmtId="37" fontId="38" fillId="0" borderId="0" xfId="0" applyFont="1" applyAlignment="1">
      <alignment horizontal="center" vertical="center"/>
    </xf>
    <xf numFmtId="37" fontId="0" fillId="0" borderId="0" xfId="0" applyBorder="1" applyAlignment="1">
      <alignment horizontal="center"/>
    </xf>
    <xf numFmtId="3" fontId="88" fillId="0" borderId="0" xfId="0" applyNumberFormat="1" applyFont="1" applyBorder="1" applyAlignment="1">
      <alignment horizontal="center" vertical="center"/>
    </xf>
    <xf numFmtId="37" fontId="0" fillId="0" borderId="94" xfId="0" applyBorder="1" applyAlignment="1">
      <alignment horizontal="center"/>
    </xf>
    <xf numFmtId="37" fontId="0" fillId="0" borderId="104" xfId="0" applyBorder="1" applyAlignment="1">
      <alignment horizontal="center"/>
    </xf>
    <xf numFmtId="37" fontId="11" fillId="30" borderId="34" xfId="0" applyFont="1" applyFill="1" applyBorder="1" applyAlignment="1">
      <alignment horizontal="center" vertical="center"/>
    </xf>
    <xf numFmtId="37" fontId="11" fillId="30" borderId="35" xfId="0" applyFont="1" applyFill="1" applyBorder="1" applyAlignment="1">
      <alignment horizontal="center" vertical="center"/>
    </xf>
    <xf numFmtId="37" fontId="11" fillId="30" borderId="36" xfId="0" applyFont="1" applyFill="1" applyBorder="1" applyAlignment="1">
      <alignment horizontal="center" vertical="center"/>
    </xf>
    <xf numFmtId="169" fontId="11" fillId="50" borderId="69" xfId="0" applyNumberFormat="1" applyFont="1" applyFill="1" applyBorder="1" applyAlignment="1">
      <alignment horizontal="center" vertical="center"/>
    </xf>
    <xf numFmtId="169" fontId="11" fillId="50" borderId="70" xfId="0" applyNumberFormat="1" applyFont="1" applyFill="1" applyBorder="1" applyAlignment="1">
      <alignment horizontal="center" vertical="center"/>
    </xf>
    <xf numFmtId="37" fontId="30" fillId="0" borderId="105" xfId="0" applyFont="1" applyBorder="1" applyAlignment="1">
      <alignment horizontal="left" vertical="center"/>
    </xf>
    <xf numFmtId="37" fontId="30" fillId="0" borderId="63" xfId="0" applyFont="1" applyBorder="1" applyAlignment="1">
      <alignment horizontal="left" vertical="center"/>
    </xf>
    <xf numFmtId="37" fontId="11" fillId="30" borderId="0" xfId="0" applyFont="1" applyFill="1" applyBorder="1" applyAlignment="1">
      <alignment horizontal="center" vertical="center"/>
    </xf>
    <xf numFmtId="37" fontId="33" fillId="52" borderId="0" xfId="0" applyFont="1" applyFill="1" applyAlignment="1">
      <alignment horizontal="center" vertical="center" wrapText="1"/>
    </xf>
    <xf numFmtId="10" fontId="0" fillId="0" borderId="0" xfId="86" applyNumberFormat="1" applyFont="1" applyBorder="1" applyAlignment="1">
      <alignment horizontal="center"/>
    </xf>
    <xf numFmtId="37" fontId="11" fillId="52" borderId="70" xfId="0" applyFont="1" applyFill="1" applyBorder="1" applyAlignment="1">
      <alignment horizontal="left" vertical="center"/>
    </xf>
    <xf numFmtId="37" fontId="11" fillId="52" borderId="71" xfId="0" applyFont="1" applyFill="1" applyBorder="1" applyAlignment="1">
      <alignment horizontal="left" vertical="center"/>
    </xf>
    <xf numFmtId="37" fontId="38" fillId="0" borderId="106" xfId="0" applyFont="1" applyBorder="1" applyAlignment="1">
      <alignment horizontal="center" vertical="center"/>
    </xf>
    <xf numFmtId="37" fontId="38" fillId="0" borderId="107" xfId="0" applyFont="1" applyBorder="1" applyAlignment="1">
      <alignment horizontal="center" vertical="center"/>
    </xf>
    <xf numFmtId="37" fontId="38" fillId="0" borderId="108" xfId="0" applyFont="1" applyBorder="1" applyAlignment="1">
      <alignment horizontal="center" vertical="center"/>
    </xf>
    <xf numFmtId="37" fontId="31" fillId="52" borderId="0" xfId="0" applyFont="1" applyFill="1" applyAlignment="1">
      <alignment horizontal="center" vertical="center"/>
    </xf>
    <xf numFmtId="37" fontId="30" fillId="30" borderId="0" xfId="0" applyFont="1" applyFill="1" applyAlignment="1">
      <alignment horizontal="center" vertical="center"/>
    </xf>
    <xf numFmtId="39" fontId="31" fillId="0" borderId="42" xfId="0" applyNumberFormat="1" applyFont="1" applyBorder="1" applyAlignment="1">
      <alignment horizontal="center" vertical="center"/>
    </xf>
    <xf numFmtId="39" fontId="31" fillId="0" borderId="49" xfId="0" applyNumberFormat="1" applyFont="1" applyBorder="1" applyAlignment="1">
      <alignment horizontal="center" vertical="center"/>
    </xf>
    <xf numFmtId="37" fontId="11" fillId="30" borderId="72" xfId="0" applyFont="1" applyFill="1" applyBorder="1" applyAlignment="1">
      <alignment horizontal="center" vertical="center"/>
    </xf>
    <xf numFmtId="37" fontId="30" fillId="0" borderId="57" xfId="0" applyFont="1" applyBorder="1" applyAlignment="1">
      <alignment horizontal="left" vertical="center"/>
    </xf>
    <xf numFmtId="37" fontId="30" fillId="0" borderId="56" xfId="0" applyFont="1" applyBorder="1" applyAlignment="1">
      <alignment horizontal="left" vertical="center"/>
    </xf>
    <xf numFmtId="165" fontId="30" fillId="0" borderId="0" xfId="106" applyFont="1" applyAlignment="1">
      <alignment horizontal="left" vertical="center"/>
    </xf>
    <xf numFmtId="37" fontId="38" fillId="52" borderId="42" xfId="0" applyFont="1" applyFill="1" applyBorder="1" applyAlignment="1">
      <alignment horizontal="center" vertical="center"/>
    </xf>
    <xf numFmtId="37" fontId="30" fillId="0" borderId="0" xfId="82" applyFont="1" applyAlignment="1">
      <alignment horizontal="center" vertical="center"/>
      <protection/>
    </xf>
    <xf numFmtId="177" fontId="30" fillId="50" borderId="0" xfId="82" applyNumberFormat="1" applyFont="1" applyFill="1" applyAlignment="1">
      <alignment horizontal="center" vertical="center" wrapText="1"/>
      <protection/>
    </xf>
    <xf numFmtId="37" fontId="33" fillId="0" borderId="42" xfId="0" applyFont="1" applyBorder="1" applyAlignment="1">
      <alignment horizontal="center" vertical="center" wrapText="1"/>
    </xf>
    <xf numFmtId="37" fontId="33" fillId="0" borderId="49" xfId="0" applyFont="1" applyBorder="1" applyAlignment="1">
      <alignment horizontal="center" vertical="center" wrapText="1"/>
    </xf>
    <xf numFmtId="37" fontId="30" fillId="55" borderId="0" xfId="82" applyFont="1" applyFill="1" applyAlignment="1">
      <alignment horizontal="center" vertical="center"/>
      <protection/>
    </xf>
    <xf numFmtId="165" fontId="30" fillId="0" borderId="57" xfId="106" applyFont="1" applyBorder="1" applyAlignment="1">
      <alignment horizontal="left" vertical="center"/>
    </xf>
    <xf numFmtId="165" fontId="30" fillId="0" borderId="56" xfId="106" applyFont="1" applyBorder="1" applyAlignment="1">
      <alignment horizontal="left" vertical="center"/>
    </xf>
    <xf numFmtId="37" fontId="11" fillId="50" borderId="0" xfId="0" applyFont="1" applyFill="1" applyAlignment="1">
      <alignment horizontal="center" vertical="center"/>
    </xf>
    <xf numFmtId="37" fontId="38" fillId="0" borderId="61" xfId="82" applyFont="1" applyBorder="1" applyAlignment="1">
      <alignment horizontal="center" vertical="center" wrapText="1"/>
      <protection/>
    </xf>
    <xf numFmtId="37" fontId="38" fillId="0" borderId="42" xfId="82" applyFont="1" applyBorder="1" applyAlignment="1">
      <alignment horizontal="center" vertical="center" wrapText="1"/>
      <protection/>
    </xf>
    <xf numFmtId="37" fontId="41" fillId="0" borderId="109" xfId="0" applyFont="1" applyBorder="1" applyAlignment="1">
      <alignment horizontal="center"/>
    </xf>
    <xf numFmtId="37" fontId="41" fillId="0" borderId="78" xfId="0" applyFont="1" applyBorder="1" applyAlignment="1">
      <alignment horizontal="center"/>
    </xf>
    <xf numFmtId="177" fontId="30" fillId="50" borderId="0" xfId="0" applyNumberFormat="1" applyFont="1" applyFill="1" applyAlignment="1">
      <alignment horizontal="center" vertical="center" wrapText="1"/>
    </xf>
    <xf numFmtId="177" fontId="30" fillId="50" borderId="43" xfId="0" applyNumberFormat="1" applyFont="1" applyFill="1" applyBorder="1" applyAlignment="1">
      <alignment horizontal="center" vertical="center" wrapText="1"/>
    </xf>
    <xf numFmtId="37" fontId="41" fillId="0" borderId="50" xfId="0" applyFont="1" applyBorder="1" applyAlignment="1">
      <alignment horizontal="center"/>
    </xf>
    <xf numFmtId="37" fontId="30" fillId="50" borderId="0" xfId="82" applyFont="1" applyFill="1" applyAlignment="1">
      <alignment horizontal="center" vertical="center"/>
      <protection/>
    </xf>
    <xf numFmtId="207" fontId="30" fillId="50" borderId="0" xfId="82" applyNumberFormat="1" applyFont="1" applyFill="1" applyAlignment="1">
      <alignment horizontal="center" vertical="center"/>
      <protection/>
    </xf>
    <xf numFmtId="37" fontId="7" fillId="0" borderId="0" xfId="0" applyFont="1" applyAlignment="1">
      <alignment horizontal="center" vertical="center" wrapText="1"/>
    </xf>
    <xf numFmtId="37" fontId="38" fillId="19" borderId="42" xfId="0" applyFont="1" applyFill="1" applyBorder="1" applyAlignment="1">
      <alignment horizontal="center" vertical="center"/>
    </xf>
    <xf numFmtId="37" fontId="33" fillId="0" borderId="42" xfId="0" applyFont="1" applyBorder="1" applyAlignment="1">
      <alignment horizontal="center" vertical="center"/>
    </xf>
    <xf numFmtId="37" fontId="31" fillId="15" borderId="109" xfId="0" applyFont="1" applyFill="1" applyBorder="1" applyAlignment="1">
      <alignment vertical="center"/>
    </xf>
    <xf numFmtId="3" fontId="31" fillId="0" borderId="110" xfId="106" applyNumberFormat="1" applyFont="1" applyBorder="1" applyAlignment="1">
      <alignment horizontal="right" vertical="center" indent="1"/>
    </xf>
    <xf numFmtId="3" fontId="31" fillId="0" borderId="33" xfId="106" applyNumberFormat="1" applyFont="1" applyBorder="1" applyAlignment="1">
      <alignment horizontal="right" vertical="center" indent="1"/>
    </xf>
    <xf numFmtId="3" fontId="31" fillId="0" borderId="69" xfId="106" applyNumberFormat="1" applyFont="1" applyBorder="1" applyAlignment="1">
      <alignment horizontal="right" vertical="center"/>
    </xf>
    <xf numFmtId="3" fontId="31" fillId="0" borderId="70" xfId="106" applyNumberFormat="1" applyFont="1" applyBorder="1" applyAlignment="1">
      <alignment horizontal="right" vertical="center"/>
    </xf>
    <xf numFmtId="37" fontId="31" fillId="6" borderId="32" xfId="0" applyFont="1" applyFill="1" applyBorder="1" applyAlignment="1">
      <alignment horizontal="center" vertical="center"/>
    </xf>
    <xf numFmtId="37" fontId="31" fillId="6" borderId="35" xfId="0" applyFont="1" applyFill="1" applyBorder="1" applyAlignment="1">
      <alignment horizontal="center" vertical="center"/>
    </xf>
    <xf numFmtId="37" fontId="31" fillId="6" borderId="36" xfId="0" applyFont="1" applyFill="1" applyBorder="1" applyAlignment="1">
      <alignment horizontal="center" vertical="center"/>
    </xf>
    <xf numFmtId="9" fontId="31" fillId="0" borderId="110" xfId="86" applyFont="1" applyBorder="1" applyAlignment="1">
      <alignment horizontal="center" vertical="center"/>
    </xf>
    <xf numFmtId="9" fontId="31" fillId="0" borderId="57" xfId="86" applyFont="1" applyBorder="1" applyAlignment="1">
      <alignment horizontal="center" vertical="center"/>
    </xf>
    <xf numFmtId="168" fontId="42" fillId="15" borderId="98" xfId="77" applyNumberFormat="1" applyFont="1" applyFill="1" applyBorder="1" applyAlignment="1">
      <alignment horizontal="center" vertical="center"/>
    </xf>
    <xf numFmtId="168" fontId="42" fillId="15" borderId="102" xfId="77" applyNumberFormat="1" applyFont="1" applyFill="1" applyBorder="1" applyAlignment="1">
      <alignment horizontal="center" vertical="center"/>
    </xf>
    <xf numFmtId="170" fontId="34" fillId="6" borderId="69" xfId="0" applyNumberFormat="1" applyFont="1" applyFill="1" applyBorder="1" applyAlignment="1">
      <alignment horizontal="center" vertical="center"/>
    </xf>
    <xf numFmtId="170" fontId="34" fillId="6" borderId="70" xfId="0" applyNumberFormat="1" applyFont="1" applyFill="1" applyBorder="1" applyAlignment="1">
      <alignment horizontal="center" vertical="center"/>
    </xf>
    <xf numFmtId="170" fontId="34" fillId="6" borderId="71" xfId="0" applyNumberFormat="1" applyFont="1" applyFill="1" applyBorder="1" applyAlignment="1">
      <alignment horizontal="center" vertical="center"/>
    </xf>
    <xf numFmtId="168" fontId="39" fillId="6" borderId="69" xfId="0" applyNumberFormat="1" applyFont="1" applyFill="1" applyBorder="1" applyAlignment="1">
      <alignment horizontal="center" vertical="center"/>
    </xf>
    <xf numFmtId="168" fontId="39" fillId="6" borderId="71" xfId="0" applyNumberFormat="1" applyFont="1" applyFill="1" applyBorder="1" applyAlignment="1">
      <alignment horizontal="center" vertical="center"/>
    </xf>
    <xf numFmtId="3" fontId="92" fillId="0" borderId="33" xfId="106" applyNumberFormat="1" applyFont="1" applyBorder="1" applyAlignment="1">
      <alignment horizontal="center" vertical="center" shrinkToFit="1"/>
    </xf>
    <xf numFmtId="3" fontId="92" fillId="0" borderId="20" xfId="106" applyNumberFormat="1" applyFont="1" applyBorder="1" applyAlignment="1">
      <alignment horizontal="center" vertical="center" shrinkToFit="1"/>
    </xf>
    <xf numFmtId="170" fontId="34" fillId="6" borderId="68" xfId="0" applyNumberFormat="1" applyFont="1" applyFill="1" applyBorder="1" applyAlignment="1">
      <alignment horizontal="center" vertical="center"/>
    </xf>
    <xf numFmtId="170" fontId="34" fillId="6" borderId="105" xfId="0" applyNumberFormat="1" applyFont="1" applyFill="1" applyBorder="1" applyAlignment="1">
      <alignment horizontal="center" vertical="center"/>
    </xf>
    <xf numFmtId="170" fontId="34" fillId="6" borderId="63" xfId="0" applyNumberFormat="1" applyFont="1" applyFill="1" applyBorder="1" applyAlignment="1">
      <alignment horizontal="center" vertical="center"/>
    </xf>
    <xf numFmtId="168" fontId="39" fillId="6" borderId="68" xfId="0" applyNumberFormat="1" applyFont="1" applyFill="1" applyBorder="1" applyAlignment="1">
      <alignment horizontal="center" vertical="center"/>
    </xf>
    <xf numFmtId="168" fontId="39" fillId="6" borderId="63" xfId="0" applyNumberFormat="1" applyFont="1" applyFill="1" applyBorder="1" applyAlignment="1">
      <alignment horizontal="center" vertical="center"/>
    </xf>
    <xf numFmtId="37" fontId="31" fillId="6" borderId="105" xfId="0" applyFont="1" applyFill="1" applyBorder="1" applyAlignment="1">
      <alignment horizontal="left" vertical="center" indent="1"/>
    </xf>
    <xf numFmtId="37" fontId="31" fillId="6" borderId="61" xfId="0" applyFont="1" applyFill="1" applyBorder="1" applyAlignment="1">
      <alignment horizontal="left" vertical="center" indent="1"/>
    </xf>
    <xf numFmtId="37" fontId="31" fillId="6" borderId="34" xfId="0" applyFont="1" applyFill="1" applyBorder="1" applyAlignment="1">
      <alignment horizontal="center" vertical="center"/>
    </xf>
    <xf numFmtId="37" fontId="11" fillId="30" borderId="68" xfId="0" applyFont="1" applyFill="1" applyBorder="1" applyAlignment="1">
      <alignment vertical="center"/>
    </xf>
    <xf numFmtId="37" fontId="11" fillId="30" borderId="105" xfId="0" applyFont="1" applyFill="1" applyBorder="1" applyAlignment="1">
      <alignment vertical="center"/>
    </xf>
    <xf numFmtId="37" fontId="11" fillId="30" borderId="63" xfId="0" applyFont="1" applyFill="1" applyBorder="1" applyAlignment="1">
      <alignment vertical="center"/>
    </xf>
    <xf numFmtId="37" fontId="31" fillId="6" borderId="72" xfId="0" applyFont="1" applyFill="1" applyBorder="1" applyAlignment="1">
      <alignment horizontal="center" vertical="center"/>
    </xf>
    <xf numFmtId="3" fontId="31" fillId="0" borderId="29" xfId="106" applyNumberFormat="1" applyFont="1" applyBorder="1" applyAlignment="1">
      <alignment horizontal="right" vertical="center" indent="1"/>
    </xf>
    <xf numFmtId="3" fontId="31" fillId="0" borderId="19" xfId="106" applyNumberFormat="1" applyFont="1" applyBorder="1" applyAlignment="1">
      <alignment horizontal="center" vertical="center"/>
    </xf>
    <xf numFmtId="3" fontId="31" fillId="0" borderId="29" xfId="106" applyNumberFormat="1" applyFont="1" applyBorder="1" applyAlignment="1">
      <alignment horizontal="center" vertical="center"/>
    </xf>
    <xf numFmtId="3" fontId="31" fillId="0" borderId="20" xfId="106" applyNumberFormat="1" applyFont="1" applyBorder="1" applyAlignment="1">
      <alignment horizontal="center" vertical="center" shrinkToFit="1"/>
    </xf>
    <xf numFmtId="37" fontId="43" fillId="0" borderId="0" xfId="0" applyFont="1" applyAlignment="1">
      <alignment horizontal="center" vertical="center"/>
    </xf>
    <xf numFmtId="37" fontId="38" fillId="6" borderId="34" xfId="0" applyFont="1" applyFill="1" applyBorder="1" applyAlignment="1">
      <alignment horizontal="center" vertical="center"/>
    </xf>
    <xf numFmtId="37" fontId="38" fillId="6" borderId="36" xfId="0" applyFont="1" applyFill="1" applyBorder="1" applyAlignment="1">
      <alignment horizontal="center" vertical="center"/>
    </xf>
    <xf numFmtId="3" fontId="31" fillId="0" borderId="110" xfId="106" applyNumberFormat="1" applyFont="1" applyBorder="1" applyAlignment="1">
      <alignment horizontal="right" vertical="center"/>
    </xf>
    <xf numFmtId="3" fontId="31" fillId="0" borderId="57" xfId="106" applyNumberFormat="1" applyFont="1" applyBorder="1" applyAlignment="1">
      <alignment horizontal="right" vertical="center"/>
    </xf>
    <xf numFmtId="37" fontId="11" fillId="0" borderId="70" xfId="0" applyFont="1" applyBorder="1" applyAlignment="1">
      <alignment horizontal="left" vertical="center" indent="1"/>
    </xf>
    <xf numFmtId="37" fontId="11" fillId="0" borderId="71" xfId="0" applyFont="1" applyBorder="1" applyAlignment="1">
      <alignment horizontal="left" vertical="center" indent="1"/>
    </xf>
    <xf numFmtId="3" fontId="31" fillId="0" borderId="33" xfId="106" applyNumberFormat="1" applyFont="1" applyBorder="1" applyAlignment="1">
      <alignment horizontal="center" vertical="center" shrinkToFit="1"/>
    </xf>
    <xf numFmtId="37" fontId="31" fillId="0" borderId="20" xfId="0" applyFont="1" applyBorder="1" applyAlignment="1">
      <alignment horizontal="center" vertical="center"/>
    </xf>
    <xf numFmtId="37" fontId="31" fillId="0" borderId="29" xfId="0" applyFont="1" applyBorder="1" applyAlignment="1">
      <alignment horizontal="center" vertical="center"/>
    </xf>
    <xf numFmtId="37" fontId="31" fillId="0" borderId="19" xfId="0" applyFont="1" applyBorder="1" applyAlignment="1">
      <alignment horizontal="center" vertical="center"/>
    </xf>
    <xf numFmtId="37" fontId="9" fillId="0" borderId="0" xfId="0" applyFont="1" applyAlignment="1">
      <alignment horizontal="center"/>
    </xf>
    <xf numFmtId="37" fontId="38" fillId="6" borderId="32" xfId="0" applyFont="1" applyFill="1" applyBorder="1" applyAlignment="1">
      <alignment horizontal="center" vertical="center"/>
    </xf>
    <xf numFmtId="37" fontId="38" fillId="6" borderId="35" xfId="0" applyFont="1" applyFill="1" applyBorder="1" applyAlignment="1">
      <alignment horizontal="center" vertical="center"/>
    </xf>
    <xf numFmtId="3" fontId="31" fillId="0" borderId="29" xfId="106" applyNumberFormat="1" applyFont="1" applyBorder="1" applyAlignment="1">
      <alignment horizontal="center" vertical="center" shrinkToFit="1"/>
    </xf>
    <xf numFmtId="37" fontId="31" fillId="0" borderId="33" xfId="0" applyFont="1" applyBorder="1" applyAlignment="1">
      <alignment horizontal="center" vertical="center"/>
    </xf>
    <xf numFmtId="3" fontId="92" fillId="0" borderId="29" xfId="106" applyNumberFormat="1" applyFont="1" applyBorder="1" applyAlignment="1">
      <alignment horizontal="center" vertical="center" shrinkToFit="1"/>
    </xf>
    <xf numFmtId="3" fontId="92" fillId="0" borderId="57" xfId="106" applyNumberFormat="1" applyFont="1" applyBorder="1" applyAlignment="1">
      <alignment horizontal="center" vertical="center" shrinkToFit="1"/>
    </xf>
    <xf numFmtId="3" fontId="92" fillId="0" borderId="56" xfId="106" applyNumberFormat="1" applyFont="1" applyBorder="1" applyAlignment="1">
      <alignment horizontal="center" vertical="center" shrinkToFit="1"/>
    </xf>
    <xf numFmtId="37" fontId="92" fillId="0" borderId="110" xfId="0" applyFont="1" applyBorder="1" applyAlignment="1">
      <alignment horizontal="center" vertical="center"/>
    </xf>
    <xf numFmtId="37" fontId="92" fillId="0" borderId="57" xfId="0" applyFont="1" applyBorder="1" applyAlignment="1">
      <alignment horizontal="center" vertical="center"/>
    </xf>
    <xf numFmtId="37" fontId="92" fillId="0" borderId="33" xfId="0" applyFont="1" applyBorder="1" applyAlignment="1">
      <alignment horizontal="center" vertical="center"/>
    </xf>
    <xf numFmtId="37" fontId="92" fillId="0" borderId="29" xfId="0" applyFont="1" applyBorder="1" applyAlignment="1">
      <alignment horizontal="center" vertical="center"/>
    </xf>
    <xf numFmtId="37" fontId="92" fillId="0" borderId="56" xfId="0" applyFont="1" applyBorder="1" applyAlignment="1">
      <alignment horizontal="center" vertical="center"/>
    </xf>
    <xf numFmtId="3" fontId="31" fillId="0" borderId="57" xfId="106" applyNumberFormat="1" applyFont="1" applyBorder="1" applyAlignment="1">
      <alignment horizontal="center" vertical="center" shrinkToFit="1"/>
    </xf>
    <xf numFmtId="3" fontId="31" fillId="0" borderId="56" xfId="106" applyNumberFormat="1" applyFont="1" applyBorder="1" applyAlignment="1">
      <alignment horizontal="center" vertical="center" shrinkToFit="1"/>
    </xf>
    <xf numFmtId="176" fontId="38" fillId="0" borderId="0" xfId="0" applyNumberFormat="1" applyFont="1" applyAlignment="1">
      <alignment horizontal="center"/>
    </xf>
  </cellXfs>
  <cellStyles count="94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" xfId="75"/>
    <cellStyle name="Incorreto 2" xfId="76"/>
    <cellStyle name="Currency" xfId="77"/>
    <cellStyle name="Currency [0]" xfId="78"/>
    <cellStyle name="Neutra" xfId="79"/>
    <cellStyle name="Neutra 2" xfId="80"/>
    <cellStyle name="Normal 2" xfId="81"/>
    <cellStyle name="Normal 3" xfId="82"/>
    <cellStyle name="Normal 4" xfId="83"/>
    <cellStyle name="Nota" xfId="84"/>
    <cellStyle name="Nota 2" xfId="85"/>
    <cellStyle name="Percent" xfId="86"/>
    <cellStyle name="Saída" xfId="87"/>
    <cellStyle name="Saída 2" xfId="88"/>
    <cellStyle name="Comma [0]" xfId="89"/>
    <cellStyle name="Texto de Aviso" xfId="90"/>
    <cellStyle name="Texto de Aviso 2" xfId="91"/>
    <cellStyle name="Texto Explicativo" xfId="92"/>
    <cellStyle name="Texto Explicativo 2" xfId="93"/>
    <cellStyle name="Título" xfId="94"/>
    <cellStyle name="Título 1" xfId="95"/>
    <cellStyle name="Título 1 2" xfId="96"/>
    <cellStyle name="Título 2" xfId="97"/>
    <cellStyle name="Título 2 2" xfId="98"/>
    <cellStyle name="Título 3" xfId="99"/>
    <cellStyle name="Título 3 2" xfId="100"/>
    <cellStyle name="Título 4" xfId="101"/>
    <cellStyle name="Título 4 2" xfId="102"/>
    <cellStyle name="Título 5" xfId="103"/>
    <cellStyle name="Total" xfId="104"/>
    <cellStyle name="Total 2" xfId="105"/>
    <cellStyle name="Comma" xfId="106"/>
    <cellStyle name="Vírgula 2" xfId="10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Codigo">
      <sharedItems containsMixedTypes="0"/>
    </cacheField>
    <cacheField name="Nome">
      <sharedItems containsMixedTypes="0"/>
    </cacheField>
    <cacheField name="Nome Usual">
      <sharedItems containsMixedTypes="0"/>
    </cacheField>
    <cacheField name="Sexo">
      <sharedItems containsMixedTypes="0"/>
    </cacheField>
    <cacheField name="Cargo">
      <sharedItems containsBlank="1" containsMixedTypes="0" count="79">
        <s v="Telefonista/44 00220001"/>
        <s v="Auxiliar Financeiro/44 00120002"/>
        <s v="Analista Financeiro Contábil Pleno/44 002"/>
        <s v="Aux. Adm. Aprendiz/44 01080001"/>
        <s v="Mensageiro/44 00340001"/>
        <s v="Analista de R. H./44 00910001"/>
        <s v="Gerente de Recursos Humanos/44 00130003"/>
        <s v="Téc. de Segurança do Trabalho Junior/44 00260005"/>
        <s v="Médico do Trabalho/44 00240003"/>
        <s v="Téc. de Segurança do Trabalho Senior/44 00460001"/>
        <s v="Téc. de Segurança do Trabalho Pleno/44 00430002"/>
        <s v="Eng. de Seg. do Trabalho/44 00230001"/>
        <s v="Téc em Enfer. do Trabalho/44 03180001"/>
        <s v="Téc. de Segurança do Trabalho Junior/44 00260002"/>
        <s v="Téc. de Segurança do Trabalho Junior/44 00260006"/>
        <s v="Arrecadador Junior/44 00380001"/>
        <s v="Contador/44 00050001"/>
        <s v="Assistente Contábil/44 00060002"/>
        <s v="Analista de Treinam. e Desenvolvimento/44 03100004"/>
        <s v="Supervisor de Arrecadação/44 00190001"/>
        <s v="Arrecadador Pleno/44 00200001"/>
        <s v="Supervisor (a) Comercial/44 02480004"/>
        <s v="Atendente Comercial Pleno/44 03010003"/>
        <s v="Atendente Comercial Junior/44 03000003"/>
        <m/>
        <s v="Mecânico de Salão Senior/44 00550003"/>
        <s v="Mec. Ajustador Motor/44 00740003"/>
        <s v="Almoxarife Senior/44 01510004"/>
        <s v="Mecânico de Salão Pleno/44 00540002"/>
        <s v="Mecânico de Salão Junior/44 00810011"/>
        <s v="Eletricista Pleno/44 00750002"/>
        <s v="Eletricista Senior/44 01330001"/>
        <s v="Latoeiro Pleno/44 00770001"/>
        <s v="Supervisor de Lataria/44 01370001"/>
        <s v="Latoeiro Sênior/44 01350001"/>
        <s v="Manobrista/44 01600001"/>
        <s v="Lubrificador / Abastecedor Pleno/44 00710001"/>
        <s v="Lubrificador / Abastecedor Junior/44 00720001"/>
        <s v="Pintor Pleno/44 01110001"/>
        <s v="Encarregado de P.C.M. e Logistica/44 02800001"/>
        <s v="Assistente de PCM Senior/44 01730001"/>
        <s v="Assistente de P.C.M. Junior/44 01620004"/>
        <s v="Recepcionista de veículos/44 01650002"/>
        <s v="Zelador(a)/44 00390002"/>
        <s v="Almoxarife Junior/44 01530003"/>
        <s v="Almoxarife Pleno/."/>
        <s v="Supervisor de Almoxarifado/44 00940001"/>
        <s v="Comprador(a)/44 00950002"/>
        <s v="Supervisor de Oficina Pleno/44 00610007"/>
        <s v="Gerente de Manutenção/44 06000001"/>
        <s v="Supervisor de Manutenção/44 00880004"/>
        <s v="Chefe de Oficina/44 02700001"/>
        <s v="Borracheiro Senior/44 01190001"/>
        <s v="Borracheiro Pleno/44 01180001"/>
        <s v="Borracheiro Pleno/44 01180005"/>
        <s v="Torneiro Mecânico/44 01640002"/>
        <s v="Aux. de Serv. Gerais/44 01270002"/>
        <s v="Líder de Manutenção Predial/Nível I"/>
        <s v="Lavador de Veiculos/44 00680001"/>
        <s v="Lavador de Veículos Lider/44 01290001"/>
        <s v="Borracheiro Junior/44 01170001"/>
        <s v="Motorista Junior/."/>
        <s v="Auditor (a) de Tráfego Senior/44 03160001"/>
        <s v="Controlador de C.C.O. Pleno/44 02570003"/>
        <s v="Gerente de Trafego/44 04000001"/>
        <s v="Controlador de C.C.O Júnior/44 02570001"/>
        <s v="Instrutor de Motoristas/44 02550001"/>
        <s v="Aux. Administrativo/44 02410003"/>
        <s v="Analista de Apoio/44 03060001"/>
        <s v="Recepcionista de Portaria/44 03300002"/>
        <s v="Coordenador de Tráfego Pleno/44 00890001"/>
        <s v="Coordenador de Trafego Junior/44 00490001"/>
        <s v="Auditor (a) de Tráfego Junior/44 03170002"/>
        <s v="Motorista Pleno/."/>
        <s v="Trocador (a)/44 00310001"/>
        <s v="Trocador (a)/44 00310002"/>
        <s v="Trocador (a)/44 0031 003 Reabilitado Pl"/>
        <s v="Trocador (a)/44 00310004 Reabilitado Jr"/>
        <s v="Arrecadador Junior/44 00380002"/>
      </sharedItems>
    </cacheField>
    <cacheField name="N?Cession?ri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4" cacheId="5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U16:V97" firstHeaderRow="2" firstDataRow="2" firstDataCol="1"/>
  <pivotFields count="6"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>
      <items count="80">
        <item x="44"/>
        <item x="45"/>
        <item x="27"/>
        <item x="68"/>
        <item x="5"/>
        <item x="18"/>
        <item x="2"/>
        <item x="15"/>
        <item x="78"/>
        <item x="20"/>
        <item x="17"/>
        <item x="41"/>
        <item x="40"/>
        <item x="23"/>
        <item x="22"/>
        <item x="72"/>
        <item x="62"/>
        <item x="3"/>
        <item x="67"/>
        <item x="56"/>
        <item x="1"/>
        <item x="60"/>
        <item x="53"/>
        <item x="54"/>
        <item x="52"/>
        <item x="51"/>
        <item x="47"/>
        <item x="16"/>
        <item x="65"/>
        <item x="63"/>
        <item x="71"/>
        <item x="70"/>
        <item x="30"/>
        <item x="31"/>
        <item x="39"/>
        <item x="11"/>
        <item x="49"/>
        <item x="6"/>
        <item x="64"/>
        <item x="66"/>
        <item x="32"/>
        <item x="34"/>
        <item x="59"/>
        <item x="58"/>
        <item x="57"/>
        <item x="37"/>
        <item x="36"/>
        <item x="35"/>
        <item x="26"/>
        <item x="29"/>
        <item x="28"/>
        <item x="25"/>
        <item x="8"/>
        <item x="4"/>
        <item x="61"/>
        <item x="73"/>
        <item x="38"/>
        <item x="69"/>
        <item x="42"/>
        <item x="21"/>
        <item x="46"/>
        <item x="19"/>
        <item x="33"/>
        <item x="50"/>
        <item x="48"/>
        <item x="12"/>
        <item x="13"/>
        <item x="7"/>
        <item x="14"/>
        <item x="10"/>
        <item x="9"/>
        <item x="0"/>
        <item x="55"/>
        <item x="76"/>
        <item x="74"/>
        <item x="75"/>
        <item x="77"/>
        <item x="43"/>
        <item x="24"/>
        <item t="default"/>
      </items>
    </pivotField>
    <pivotField compact="0" outline="0" showAll="0"/>
  </pivotFields>
  <rowFields count="1">
    <field x="4"/>
  </rowFields>
  <rowItems count="8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 t="grand">
      <x/>
    </i>
  </rowItems>
  <colItems count="1">
    <i/>
  </colItems>
  <dataFields count="1">
    <dataField name="RELA??O DA FOLHA DE PAGAMENTO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97"/>
  <sheetViews>
    <sheetView showGridLines="0" zoomScale="106" zoomScaleNormal="106" zoomScalePageLayoutView="0" workbookViewId="0" topLeftCell="A4">
      <selection activeCell="G13" sqref="G13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14.00390625" style="0" customWidth="1"/>
    <col min="4" max="4" width="13.375" style="0" customWidth="1"/>
    <col min="5" max="5" width="14.00390625" style="0" customWidth="1"/>
    <col min="6" max="6" width="11.625" style="0" customWidth="1"/>
    <col min="7" max="7" width="11.25390625" style="0" customWidth="1"/>
    <col min="8" max="8" width="11.625" style="0" customWidth="1"/>
    <col min="9" max="9" width="14.50390625" style="0" customWidth="1"/>
    <col min="10" max="10" width="13.25390625" style="0" customWidth="1"/>
    <col min="11" max="11" width="11.875" style="0" customWidth="1"/>
    <col min="12" max="12" width="7.875" style="0" customWidth="1"/>
    <col min="13" max="13" width="2.625" style="0" customWidth="1"/>
    <col min="14" max="14" width="15.625" style="0" customWidth="1"/>
    <col min="15" max="15" width="8.625" style="0" customWidth="1"/>
    <col min="16" max="16" width="2.625" style="0" customWidth="1"/>
    <col min="17" max="17" width="15.625" style="0" customWidth="1"/>
    <col min="18" max="18" width="9.50390625" style="0" customWidth="1"/>
    <col min="19" max="19" width="2.625" style="0" customWidth="1"/>
    <col min="20" max="20" width="8.875" style="0" customWidth="1"/>
    <col min="21" max="21" width="36.125" style="0" customWidth="1"/>
  </cols>
  <sheetData>
    <row r="1" ht="13.5" customHeight="1"/>
    <row r="2" spans="2:19" ht="13.5" customHeight="1">
      <c r="B2" s="502" t="s">
        <v>251</v>
      </c>
      <c r="C2" s="502"/>
      <c r="D2" s="502"/>
      <c r="E2" s="502"/>
      <c r="F2" s="502"/>
      <c r="G2" s="502"/>
      <c r="H2" s="502"/>
      <c r="I2" s="502"/>
      <c r="J2" s="502"/>
      <c r="K2" s="502"/>
      <c r="M2" s="499" t="s">
        <v>237</v>
      </c>
      <c r="N2" s="500"/>
      <c r="O2" s="500"/>
      <c r="P2" s="500"/>
      <c r="Q2" s="500"/>
      <c r="R2" s="500"/>
      <c r="S2" s="501"/>
    </row>
    <row r="3" spans="4:19" ht="13.5" customHeight="1">
      <c r="D3" s="487" t="s">
        <v>34</v>
      </c>
      <c r="E3" s="488"/>
      <c r="F3" s="488"/>
      <c r="G3" s="506"/>
      <c r="H3" s="487" t="s">
        <v>35</v>
      </c>
      <c r="I3" s="488"/>
      <c r="J3" s="488"/>
      <c r="K3" s="489"/>
      <c r="L3" s="276"/>
      <c r="M3" s="69"/>
      <c r="S3" s="70"/>
    </row>
    <row r="4" spans="2:24" ht="13.5" customHeight="1">
      <c r="B4" s="504"/>
      <c r="C4" s="505"/>
      <c r="D4" s="22" t="s">
        <v>25</v>
      </c>
      <c r="E4" s="15" t="s">
        <v>32</v>
      </c>
      <c r="F4" s="15" t="s">
        <v>33</v>
      </c>
      <c r="G4" s="16" t="s">
        <v>26</v>
      </c>
      <c r="H4" s="14" t="s">
        <v>25</v>
      </c>
      <c r="I4" s="15" t="s">
        <v>32</v>
      </c>
      <c r="J4" s="15" t="s">
        <v>33</v>
      </c>
      <c r="K4" s="18" t="s">
        <v>26</v>
      </c>
      <c r="L4" s="277"/>
      <c r="M4" s="69"/>
      <c r="N4" s="392" t="s">
        <v>52</v>
      </c>
      <c r="O4" s="393"/>
      <c r="P4" s="394"/>
      <c r="Q4" s="392" t="s">
        <v>53</v>
      </c>
      <c r="R4" s="393"/>
      <c r="S4" s="70"/>
      <c r="V4" s="364"/>
      <c r="W4" s="364"/>
      <c r="X4" s="364"/>
    </row>
    <row r="5" spans="2:24" s="7" customFormat="1" ht="13.5" customHeight="1">
      <c r="B5" s="26" t="s">
        <v>29</v>
      </c>
      <c r="C5" s="256">
        <f>H25</f>
        <v>250</v>
      </c>
      <c r="D5" s="12">
        <v>0</v>
      </c>
      <c r="E5" s="252">
        <v>4495</v>
      </c>
      <c r="F5" s="252">
        <v>29342</v>
      </c>
      <c r="G5" s="379">
        <v>3059</v>
      </c>
      <c r="H5" s="12">
        <f aca="true" t="shared" si="0" ref="H5:K7">D5*$C5</f>
        <v>0</v>
      </c>
      <c r="I5" s="13">
        <f>E5*$C5</f>
        <v>1123750</v>
      </c>
      <c r="J5" s="13">
        <f t="shared" si="0"/>
        <v>7335500</v>
      </c>
      <c r="K5" s="19">
        <f t="shared" si="0"/>
        <v>764750</v>
      </c>
      <c r="L5" s="278"/>
      <c r="M5" s="69"/>
      <c r="N5" s="196" t="s">
        <v>13</v>
      </c>
      <c r="O5" s="475">
        <v>2100.31</v>
      </c>
      <c r="P5" s="60"/>
      <c r="Q5" s="344" t="s">
        <v>13</v>
      </c>
      <c r="R5" s="384">
        <v>1957.17</v>
      </c>
      <c r="S5" s="70"/>
      <c r="T5" s="380"/>
      <c r="V5" s="365"/>
      <c r="W5" s="365"/>
      <c r="X5" s="365"/>
    </row>
    <row r="6" spans="2:24" ht="13.5" customHeight="1">
      <c r="B6" s="27" t="s">
        <v>30</v>
      </c>
      <c r="C6" s="257">
        <f>I25</f>
        <v>52</v>
      </c>
      <c r="D6" s="10">
        <v>0</v>
      </c>
      <c r="E6" s="253">
        <v>8006</v>
      </c>
      <c r="F6" s="253">
        <v>16727</v>
      </c>
      <c r="G6" s="254">
        <v>2228</v>
      </c>
      <c r="H6" s="12">
        <f t="shared" si="0"/>
        <v>0</v>
      </c>
      <c r="I6" s="11">
        <f>E6*$C6</f>
        <v>416312</v>
      </c>
      <c r="J6" s="11">
        <f t="shared" si="0"/>
        <v>869804</v>
      </c>
      <c r="K6" s="20">
        <f t="shared" si="0"/>
        <v>115856</v>
      </c>
      <c r="L6" s="277"/>
      <c r="M6" s="69"/>
      <c r="N6" s="102" t="s">
        <v>14</v>
      </c>
      <c r="O6" s="475">
        <v>1511.4</v>
      </c>
      <c r="P6" s="60"/>
      <c r="Q6" s="345" t="s">
        <v>14</v>
      </c>
      <c r="R6" s="383">
        <v>1180.47</v>
      </c>
      <c r="S6" s="70"/>
      <c r="V6" s="364"/>
      <c r="W6" s="364"/>
      <c r="X6" s="364"/>
    </row>
    <row r="7" spans="2:24" ht="13.5" customHeight="1">
      <c r="B7" s="28" t="s">
        <v>31</v>
      </c>
      <c r="C7" s="258">
        <f>J25</f>
        <v>63</v>
      </c>
      <c r="D7" s="25">
        <v>0</v>
      </c>
      <c r="E7" s="255">
        <v>10446</v>
      </c>
      <c r="F7" s="255">
        <v>4795</v>
      </c>
      <c r="G7" s="391">
        <v>347</v>
      </c>
      <c r="H7" s="12">
        <f t="shared" si="0"/>
        <v>0</v>
      </c>
      <c r="I7" s="17">
        <f t="shared" si="0"/>
        <v>658098</v>
      </c>
      <c r="J7" s="17">
        <f t="shared" si="0"/>
        <v>302085</v>
      </c>
      <c r="K7" s="21">
        <f t="shared" si="0"/>
        <v>21861</v>
      </c>
      <c r="L7" s="277"/>
      <c r="M7" s="69"/>
      <c r="N7" s="197" t="s">
        <v>15</v>
      </c>
      <c r="O7" s="475">
        <v>819.33</v>
      </c>
      <c r="P7" s="60"/>
      <c r="Q7" s="345" t="s">
        <v>15</v>
      </c>
      <c r="R7" s="382">
        <v>399.31</v>
      </c>
      <c r="S7" s="70"/>
      <c r="V7" s="364"/>
      <c r="W7" s="364"/>
      <c r="X7" s="364"/>
    </row>
    <row r="8" spans="3:24" ht="13.5" customHeight="1">
      <c r="C8" s="23"/>
      <c r="D8" s="24"/>
      <c r="E8" s="262" t="s">
        <v>116</v>
      </c>
      <c r="F8" s="492" t="s">
        <v>22</v>
      </c>
      <c r="G8" s="493"/>
      <c r="H8" s="29">
        <f>SUM(H5:H7)</f>
        <v>0</v>
      </c>
      <c r="I8" s="30">
        <f>SUM(I5:I7)</f>
        <v>2198160</v>
      </c>
      <c r="J8" s="30">
        <f>SUM(J5:J7)</f>
        <v>8507389</v>
      </c>
      <c r="K8" s="31">
        <f>SUM(K5:K7)</f>
        <v>902467</v>
      </c>
      <c r="L8" s="277"/>
      <c r="M8" s="69"/>
      <c r="N8" s="101" t="s">
        <v>16</v>
      </c>
      <c r="O8" s="61">
        <f>O5/6</f>
        <v>350.0516666666667</v>
      </c>
      <c r="P8" s="62"/>
      <c r="Q8" s="346" t="s">
        <v>16</v>
      </c>
      <c r="R8" s="347">
        <f>R5/6</f>
        <v>326.195</v>
      </c>
      <c r="S8" s="70"/>
      <c r="V8" s="364"/>
      <c r="W8" s="364"/>
      <c r="X8" s="364"/>
    </row>
    <row r="9" spans="3:24" ht="13.5" customHeight="1">
      <c r="C9" s="23"/>
      <c r="D9" s="24"/>
      <c r="E9" s="24"/>
      <c r="F9" s="507" t="s">
        <v>23</v>
      </c>
      <c r="G9" s="508"/>
      <c r="H9" s="32">
        <f>H8/12</f>
        <v>0</v>
      </c>
      <c r="I9" s="33">
        <f>(I8/12)</f>
        <v>183180</v>
      </c>
      <c r="J9" s="33">
        <f>(J8/12)</f>
        <v>708949.0833333334</v>
      </c>
      <c r="K9" s="34">
        <f>(K8/12)</f>
        <v>75205.58333333333</v>
      </c>
      <c r="L9" s="277"/>
      <c r="M9" s="69"/>
      <c r="N9" s="102" t="s">
        <v>17</v>
      </c>
      <c r="O9" s="63">
        <f>O6/6</f>
        <v>251.9</v>
      </c>
      <c r="P9" s="62"/>
      <c r="Q9" s="333" t="s">
        <v>17</v>
      </c>
      <c r="R9" s="336">
        <f>R6/6</f>
        <v>196.745</v>
      </c>
      <c r="S9" s="70"/>
      <c r="V9" s="364"/>
      <c r="W9" s="364"/>
      <c r="X9" s="364"/>
    </row>
    <row r="10" spans="3:24" ht="13.5" customHeight="1">
      <c r="C10" s="23"/>
      <c r="D10" s="23"/>
      <c r="E10" s="23"/>
      <c r="F10" s="497" t="s">
        <v>36</v>
      </c>
      <c r="G10" s="498"/>
      <c r="H10" s="422"/>
      <c r="I10" s="422"/>
      <c r="J10" s="422"/>
      <c r="K10" s="445">
        <f>SUM(H9:K9)</f>
        <v>967334.6666666667</v>
      </c>
      <c r="L10" s="358"/>
      <c r="M10" s="69"/>
      <c r="N10" s="197" t="s">
        <v>18</v>
      </c>
      <c r="O10" s="64">
        <f>O7/6</f>
        <v>136.555</v>
      </c>
      <c r="P10" s="62"/>
      <c r="Q10" s="334" t="s">
        <v>18</v>
      </c>
      <c r="R10" s="337">
        <f>R7/6</f>
        <v>66.55166666666666</v>
      </c>
      <c r="S10" s="70"/>
      <c r="V10" s="364"/>
      <c r="W10" s="366"/>
      <c r="X10" s="364"/>
    </row>
    <row r="11" spans="2:24" ht="13.5" customHeight="1">
      <c r="B11" s="503" t="s">
        <v>116</v>
      </c>
      <c r="C11" s="503"/>
      <c r="D11" s="9"/>
      <c r="E11" s="9"/>
      <c r="F11" s="9"/>
      <c r="G11" s="490"/>
      <c r="H11" s="491"/>
      <c r="I11" s="491"/>
      <c r="J11" s="491"/>
      <c r="K11" s="409"/>
      <c r="M11" s="69"/>
      <c r="N11" s="198" t="s">
        <v>55</v>
      </c>
      <c r="O11" s="65">
        <f>J25</f>
        <v>63</v>
      </c>
      <c r="P11" s="62"/>
      <c r="Q11" s="338" t="s">
        <v>55</v>
      </c>
      <c r="R11" s="339">
        <f>J25</f>
        <v>63</v>
      </c>
      <c r="S11" s="70"/>
      <c r="V11" s="364"/>
      <c r="W11" s="366"/>
      <c r="X11" s="364"/>
    </row>
    <row r="12" spans="2:24" ht="19.5" customHeight="1">
      <c r="B12" s="495" t="s">
        <v>38</v>
      </c>
      <c r="C12" s="495"/>
      <c r="D12" s="317" t="s">
        <v>249</v>
      </c>
      <c r="E12" s="317"/>
      <c r="G12" s="417" t="s">
        <v>50</v>
      </c>
      <c r="H12" s="418" t="s">
        <v>29</v>
      </c>
      <c r="I12" s="419" t="s">
        <v>30</v>
      </c>
      <c r="J12" s="420" t="s">
        <v>49</v>
      </c>
      <c r="K12" s="421" t="s">
        <v>51</v>
      </c>
      <c r="L12" s="434" t="s">
        <v>250</v>
      </c>
      <c r="M12" s="69"/>
      <c r="N12" s="101" t="s">
        <v>19</v>
      </c>
      <c r="O12" s="66">
        <f>((O8*$H$25)+(O9*$I$25)+(O10*$J$25))/($K$25-$J$25)</f>
        <v>361.63801876379694</v>
      </c>
      <c r="P12" s="62"/>
      <c r="Q12" s="335" t="s">
        <v>19</v>
      </c>
      <c r="R12" s="340">
        <f>((R8*$H$25)+(R9*$I$25)+(R10*$J$25))/($K$25-$J$25)</f>
        <v>317.7888907284769</v>
      </c>
      <c r="S12" s="70"/>
      <c r="V12" s="364"/>
      <c r="W12" s="366"/>
      <c r="X12" s="364"/>
    </row>
    <row r="13" spans="2:24" ht="13.5" customHeight="1">
      <c r="B13" s="389" t="s">
        <v>50</v>
      </c>
      <c r="C13" s="390" t="s">
        <v>236</v>
      </c>
      <c r="D13" s="318"/>
      <c r="E13" s="318"/>
      <c r="G13" s="410">
        <v>44805</v>
      </c>
      <c r="H13" s="249">
        <v>20</v>
      </c>
      <c r="I13" s="249">
        <v>4</v>
      </c>
      <c r="J13" s="249">
        <v>6</v>
      </c>
      <c r="K13" s="411">
        <f>SUM(H13:J13)</f>
        <v>30</v>
      </c>
      <c r="M13" s="69"/>
      <c r="N13" s="199" t="s">
        <v>57</v>
      </c>
      <c r="O13" s="67">
        <f>O12/11</f>
        <v>32.87618352398154</v>
      </c>
      <c r="P13" s="62"/>
      <c r="Q13" s="341" t="s">
        <v>57</v>
      </c>
      <c r="R13" s="342">
        <f>R12*0.0909</f>
        <v>28.887010167218545</v>
      </c>
      <c r="S13" s="70"/>
      <c r="V13" s="364"/>
      <c r="W13" s="364"/>
      <c r="X13" s="364"/>
    </row>
    <row r="14" spans="2:24" ht="13.5" customHeight="1">
      <c r="B14" s="388">
        <v>44440</v>
      </c>
      <c r="C14" s="241">
        <v>1199161</v>
      </c>
      <c r="D14" s="484" t="s">
        <v>242</v>
      </c>
      <c r="E14" s="484"/>
      <c r="G14" s="410">
        <v>44835</v>
      </c>
      <c r="H14" s="249">
        <v>20</v>
      </c>
      <c r="I14" s="249">
        <v>5</v>
      </c>
      <c r="J14" s="249">
        <v>6</v>
      </c>
      <c r="K14" s="411">
        <f aca="true" t="shared" si="1" ref="K14:K24">SUM(H14:J14)</f>
        <v>31</v>
      </c>
      <c r="M14" s="69"/>
      <c r="N14" s="199" t="s">
        <v>20</v>
      </c>
      <c r="O14" s="67">
        <f>SUM(O12:O13)</f>
        <v>394.51420228777846</v>
      </c>
      <c r="P14" s="62"/>
      <c r="Q14" s="341" t="s">
        <v>20</v>
      </c>
      <c r="R14" s="342">
        <f>SUM(R12:R13)</f>
        <v>346.6759008956954</v>
      </c>
      <c r="S14" s="70"/>
      <c r="V14" s="364"/>
      <c r="W14" s="364"/>
      <c r="X14" s="364"/>
    </row>
    <row r="15" spans="2:19" ht="13.5" customHeight="1">
      <c r="B15" s="388">
        <v>44470</v>
      </c>
      <c r="C15" s="242">
        <v>1276783</v>
      </c>
      <c r="D15" s="484" t="s">
        <v>243</v>
      </c>
      <c r="E15" s="484"/>
      <c r="G15" s="410">
        <v>44866</v>
      </c>
      <c r="H15" s="59">
        <v>20</v>
      </c>
      <c r="I15" s="59">
        <v>4</v>
      </c>
      <c r="J15" s="59">
        <v>6</v>
      </c>
      <c r="K15" s="411">
        <f t="shared" si="1"/>
        <v>30</v>
      </c>
      <c r="M15" s="69"/>
      <c r="N15" s="199" t="s">
        <v>58</v>
      </c>
      <c r="O15" s="67">
        <f>O14*10%</f>
        <v>39.45142022877785</v>
      </c>
      <c r="P15" s="62"/>
      <c r="Q15" s="341" t="s">
        <v>58</v>
      </c>
      <c r="R15" s="342">
        <f>R14/10</f>
        <v>34.66759008956954</v>
      </c>
      <c r="S15" s="70"/>
    </row>
    <row r="16" spans="2:22" ht="13.5" customHeight="1">
      <c r="B16" s="388">
        <v>44501</v>
      </c>
      <c r="C16" s="444">
        <v>1326467</v>
      </c>
      <c r="D16" s="484" t="s">
        <v>247</v>
      </c>
      <c r="E16" s="484"/>
      <c r="G16" s="410">
        <v>44896</v>
      </c>
      <c r="H16" s="59">
        <v>22</v>
      </c>
      <c r="I16" s="59">
        <v>5</v>
      </c>
      <c r="J16" s="59">
        <v>4</v>
      </c>
      <c r="K16" s="411">
        <f t="shared" si="1"/>
        <v>31</v>
      </c>
      <c r="M16" s="69"/>
      <c r="N16" s="102" t="s">
        <v>56</v>
      </c>
      <c r="O16" s="67">
        <f>SUM(O14:O15)</f>
        <v>433.9656225165563</v>
      </c>
      <c r="P16" s="62"/>
      <c r="Q16" s="333" t="s">
        <v>56</v>
      </c>
      <c r="R16" s="342">
        <f>SUM(R14:R15)</f>
        <v>381.34349098526496</v>
      </c>
      <c r="S16" s="70"/>
      <c r="U16" s="355" t="s">
        <v>232</v>
      </c>
      <c r="V16" s="349"/>
    </row>
    <row r="17" spans="2:22" ht="13.5" customHeight="1">
      <c r="B17" s="388">
        <v>44531</v>
      </c>
      <c r="C17" s="271">
        <v>1264637</v>
      </c>
      <c r="D17" s="484" t="s">
        <v>248</v>
      </c>
      <c r="E17" s="484"/>
      <c r="G17" s="410">
        <v>44927</v>
      </c>
      <c r="H17" s="249">
        <v>22</v>
      </c>
      <c r="I17" s="249">
        <v>4</v>
      </c>
      <c r="J17" s="249">
        <v>5</v>
      </c>
      <c r="K17" s="411">
        <f t="shared" si="1"/>
        <v>31</v>
      </c>
      <c r="M17" s="69"/>
      <c r="N17" s="199" t="s">
        <v>59</v>
      </c>
      <c r="O17" s="67">
        <f>O16*5%</f>
        <v>21.69828112582782</v>
      </c>
      <c r="P17" s="62"/>
      <c r="Q17" s="341" t="s">
        <v>59</v>
      </c>
      <c r="R17" s="342">
        <f>R16/20</f>
        <v>19.06717454926325</v>
      </c>
      <c r="S17" s="70"/>
      <c r="U17" s="355" t="s">
        <v>153</v>
      </c>
      <c r="V17" s="356" t="s">
        <v>144</v>
      </c>
    </row>
    <row r="18" spans="2:22" ht="13.5" customHeight="1">
      <c r="B18" s="388">
        <v>44562</v>
      </c>
      <c r="C18" s="271">
        <v>1185963</v>
      </c>
      <c r="D18" s="484" t="s">
        <v>255</v>
      </c>
      <c r="E18" s="484"/>
      <c r="G18" s="410">
        <v>44958</v>
      </c>
      <c r="H18" s="59">
        <v>19</v>
      </c>
      <c r="I18" s="59">
        <v>4</v>
      </c>
      <c r="J18" s="59">
        <v>5</v>
      </c>
      <c r="K18" s="411">
        <f t="shared" si="1"/>
        <v>28</v>
      </c>
      <c r="M18" s="69"/>
      <c r="N18" s="102" t="s">
        <v>21</v>
      </c>
      <c r="O18" s="67">
        <f>SUM(O16:O17)</f>
        <v>455.6639036423841</v>
      </c>
      <c r="P18" s="62"/>
      <c r="Q18" s="333" t="s">
        <v>21</v>
      </c>
      <c r="R18" s="342">
        <f>SUM(R16:R17)</f>
        <v>400.4106655345282</v>
      </c>
      <c r="S18" s="70"/>
      <c r="U18" s="348" t="s">
        <v>154</v>
      </c>
      <c r="V18" s="350">
        <v>3</v>
      </c>
    </row>
    <row r="19" spans="2:22" ht="13.5" customHeight="1">
      <c r="B19" s="388">
        <v>44593</v>
      </c>
      <c r="C19" s="441">
        <v>1411553</v>
      </c>
      <c r="D19" s="406"/>
      <c r="E19" s="319"/>
      <c r="G19" s="410">
        <v>44986</v>
      </c>
      <c r="H19" s="59">
        <v>23</v>
      </c>
      <c r="I19" s="59">
        <v>4</v>
      </c>
      <c r="J19" s="59">
        <v>4</v>
      </c>
      <c r="K19" s="411">
        <f t="shared" si="1"/>
        <v>31</v>
      </c>
      <c r="M19" s="69"/>
      <c r="N19" s="197" t="s">
        <v>1</v>
      </c>
      <c r="O19" s="68">
        <v>144</v>
      </c>
      <c r="P19" s="62"/>
      <c r="Q19" s="334" t="s">
        <v>1</v>
      </c>
      <c r="R19" s="343">
        <v>121</v>
      </c>
      <c r="S19" s="70"/>
      <c r="U19" s="351" t="s">
        <v>155</v>
      </c>
      <c r="V19" s="352">
        <v>1</v>
      </c>
    </row>
    <row r="20" spans="2:22" ht="13.5" customHeight="1">
      <c r="B20" s="388">
        <v>44621</v>
      </c>
      <c r="C20" s="442">
        <v>1683867</v>
      </c>
      <c r="D20" s="407"/>
      <c r="E20" s="320"/>
      <c r="G20" s="410">
        <v>45017</v>
      </c>
      <c r="H20" s="59">
        <v>18</v>
      </c>
      <c r="I20" s="59">
        <v>5</v>
      </c>
      <c r="J20" s="59">
        <v>7</v>
      </c>
      <c r="K20" s="411">
        <f t="shared" si="1"/>
        <v>30</v>
      </c>
      <c r="M20" s="69"/>
      <c r="N20" s="395" t="s">
        <v>54</v>
      </c>
      <c r="O20" s="397">
        <f>O18/O19</f>
        <v>3.164332664183223</v>
      </c>
      <c r="P20" s="396"/>
      <c r="Q20" s="395" t="s">
        <v>54</v>
      </c>
      <c r="R20" s="397">
        <f>(R18/R19)-0.0001</f>
        <v>3.309079054004365</v>
      </c>
      <c r="S20" s="70"/>
      <c r="U20" s="351" t="s">
        <v>156</v>
      </c>
      <c r="V20" s="352">
        <v>2</v>
      </c>
    </row>
    <row r="21" spans="2:22" ht="13.5" customHeight="1">
      <c r="B21" s="388">
        <v>44652</v>
      </c>
      <c r="C21" s="441">
        <v>1553447</v>
      </c>
      <c r="D21" s="406" t="s">
        <v>244</v>
      </c>
      <c r="E21" s="320"/>
      <c r="G21" s="410">
        <v>45047</v>
      </c>
      <c r="H21" s="59">
        <v>22</v>
      </c>
      <c r="I21" s="59">
        <v>4</v>
      </c>
      <c r="J21" s="59">
        <v>5</v>
      </c>
      <c r="K21" s="411">
        <f t="shared" si="1"/>
        <v>31</v>
      </c>
      <c r="M21" s="71"/>
      <c r="N21" s="72"/>
      <c r="O21" s="72"/>
      <c r="P21" s="72"/>
      <c r="Q21" s="72"/>
      <c r="R21" s="72"/>
      <c r="S21" s="73"/>
      <c r="U21" s="351" t="s">
        <v>157</v>
      </c>
      <c r="V21" s="352">
        <v>1</v>
      </c>
    </row>
    <row r="22" spans="2:22" ht="13.5" customHeight="1">
      <c r="B22" s="388">
        <v>44682</v>
      </c>
      <c r="C22" s="441">
        <v>1715468</v>
      </c>
      <c r="D22" s="408" t="s">
        <v>245</v>
      </c>
      <c r="E22" s="319"/>
      <c r="G22" s="410">
        <v>45078</v>
      </c>
      <c r="H22" s="249">
        <v>21</v>
      </c>
      <c r="I22" s="249">
        <v>4</v>
      </c>
      <c r="J22" s="249">
        <v>5</v>
      </c>
      <c r="K22" s="411">
        <f t="shared" si="1"/>
        <v>30</v>
      </c>
      <c r="U22" s="351" t="s">
        <v>158</v>
      </c>
      <c r="V22" s="352">
        <v>1</v>
      </c>
    </row>
    <row r="23" spans="2:22" ht="13.5" customHeight="1">
      <c r="B23" s="388">
        <v>44713</v>
      </c>
      <c r="C23" s="441">
        <v>1628527</v>
      </c>
      <c r="D23" s="407"/>
      <c r="E23" s="320"/>
      <c r="G23" s="410">
        <v>45108</v>
      </c>
      <c r="H23" s="59">
        <v>20</v>
      </c>
      <c r="I23" s="59">
        <v>5</v>
      </c>
      <c r="J23" s="59">
        <v>6</v>
      </c>
      <c r="K23" s="411">
        <f t="shared" si="1"/>
        <v>31</v>
      </c>
      <c r="U23" s="351" t="s">
        <v>159</v>
      </c>
      <c r="V23" s="352">
        <v>1</v>
      </c>
    </row>
    <row r="24" spans="2:22" ht="13.5" customHeight="1">
      <c r="B24" s="388">
        <v>44743</v>
      </c>
      <c r="C24" s="441">
        <v>1514256</v>
      </c>
      <c r="D24" s="407"/>
      <c r="E24" s="320"/>
      <c r="G24" s="410">
        <v>45139</v>
      </c>
      <c r="H24" s="59">
        <v>23</v>
      </c>
      <c r="I24" s="59">
        <v>4</v>
      </c>
      <c r="J24" s="59">
        <v>4</v>
      </c>
      <c r="K24" s="411">
        <f t="shared" si="1"/>
        <v>31</v>
      </c>
      <c r="U24" s="351" t="s">
        <v>160</v>
      </c>
      <c r="V24" s="352">
        <v>1</v>
      </c>
    </row>
    <row r="25" spans="2:22" ht="13.5" customHeight="1">
      <c r="B25" s="388">
        <v>44774</v>
      </c>
      <c r="C25" s="443">
        <v>1725342</v>
      </c>
      <c r="D25" s="433" t="s">
        <v>246</v>
      </c>
      <c r="E25" s="328"/>
      <c r="G25" s="412"/>
      <c r="H25" s="413">
        <f>SUM(H13:H24)</f>
        <v>250</v>
      </c>
      <c r="I25" s="414">
        <f>SUM(I13:I24)</f>
        <v>52</v>
      </c>
      <c r="J25" s="415">
        <f>SUM(J13:J24)</f>
        <v>63</v>
      </c>
      <c r="K25" s="416">
        <f>SUM(H25:J25)</f>
        <v>365</v>
      </c>
      <c r="M25" s="482"/>
      <c r="N25" s="482"/>
      <c r="O25" s="482"/>
      <c r="P25" s="482"/>
      <c r="Q25" s="482"/>
      <c r="R25" s="482"/>
      <c r="S25" s="482"/>
      <c r="U25" s="351" t="s">
        <v>161</v>
      </c>
      <c r="V25" s="352">
        <v>12</v>
      </c>
    </row>
    <row r="26" spans="2:22" ht="13.5" customHeight="1">
      <c r="B26" s="243" t="s">
        <v>37</v>
      </c>
      <c r="C26" s="244">
        <f>AVERAGE(C20:C25)</f>
        <v>1636817.8333333333</v>
      </c>
      <c r="D26" s="386"/>
      <c r="E26" s="321"/>
      <c r="F26" s="358"/>
      <c r="G26" s="305"/>
      <c r="U26" s="351" t="s">
        <v>162</v>
      </c>
      <c r="V26" s="352">
        <v>1</v>
      </c>
    </row>
    <row r="27" spans="3:22" ht="19.5" customHeight="1">
      <c r="C27" s="322"/>
      <c r="D27" t="s">
        <v>116</v>
      </c>
      <c r="N27" s="326"/>
      <c r="O27" s="327"/>
      <c r="P27" s="62"/>
      <c r="Q27" s="326"/>
      <c r="R27" s="327"/>
      <c r="S27" s="357"/>
      <c r="U27" s="351" t="s">
        <v>163</v>
      </c>
      <c r="V27" s="352">
        <v>1</v>
      </c>
    </row>
    <row r="28" spans="6:22" ht="12">
      <c r="F28" s="359"/>
      <c r="G28" s="378"/>
      <c r="H28" s="378"/>
      <c r="I28" s="378" t="s">
        <v>241</v>
      </c>
      <c r="J28" s="378"/>
      <c r="K28" s="378"/>
      <c r="U28" s="351" t="s">
        <v>164</v>
      </c>
      <c r="V28" s="352">
        <v>1</v>
      </c>
    </row>
    <row r="29" spans="3:22" ht="12.75">
      <c r="C29" s="431">
        <v>2019</v>
      </c>
      <c r="D29" s="431">
        <v>2020</v>
      </c>
      <c r="E29" s="432">
        <v>2021</v>
      </c>
      <c r="F29" s="359"/>
      <c r="G29" s="374"/>
      <c r="H29" s="429">
        <v>2019</v>
      </c>
      <c r="I29" s="427">
        <v>2020</v>
      </c>
      <c r="J29" s="427">
        <v>2021</v>
      </c>
      <c r="K29" s="376"/>
      <c r="L29" s="359"/>
      <c r="M29" s="359"/>
      <c r="N29" s="359"/>
      <c r="U29" s="351" t="s">
        <v>165</v>
      </c>
      <c r="V29" s="352">
        <v>2</v>
      </c>
    </row>
    <row r="30" spans="3:22" ht="12.75">
      <c r="C30" s="387">
        <v>1939877</v>
      </c>
      <c r="D30" s="387">
        <v>1862386.5</v>
      </c>
      <c r="E30" s="387">
        <v>994212.5</v>
      </c>
      <c r="F30" s="359"/>
      <c r="G30" s="374"/>
      <c r="H30" s="430">
        <v>1263479</v>
      </c>
      <c r="I30" s="428">
        <v>1258959.9795000001</v>
      </c>
      <c r="J30" s="428">
        <v>1036550</v>
      </c>
      <c r="K30" s="376"/>
      <c r="L30" s="359"/>
      <c r="M30" s="359"/>
      <c r="N30" s="359"/>
      <c r="U30" s="351" t="s">
        <v>166</v>
      </c>
      <c r="V30" s="352">
        <v>1</v>
      </c>
    </row>
    <row r="31" spans="6:22" ht="12.75" thickBot="1">
      <c r="F31" s="359"/>
      <c r="G31" s="374"/>
      <c r="H31" s="376"/>
      <c r="I31" s="376"/>
      <c r="J31" s="376"/>
      <c r="K31" s="376"/>
      <c r="L31" s="359"/>
      <c r="M31" s="359"/>
      <c r="N31" s="359"/>
      <c r="U31" s="351" t="s">
        <v>167</v>
      </c>
      <c r="V31" s="352">
        <v>6</v>
      </c>
    </row>
    <row r="32" spans="4:22" ht="12.75" thickBot="1">
      <c r="D32" s="485" t="s">
        <v>258</v>
      </c>
      <c r="E32" s="486"/>
      <c r="F32" s="463">
        <v>5.5</v>
      </c>
      <c r="G32" s="467"/>
      <c r="H32" s="494" t="s">
        <v>269</v>
      </c>
      <c r="I32" s="494"/>
      <c r="J32" s="375"/>
      <c r="K32" s="376"/>
      <c r="L32" s="359"/>
      <c r="M32" s="359"/>
      <c r="N32" s="359"/>
      <c r="U32" s="351" t="s">
        <v>168</v>
      </c>
      <c r="V32" s="352">
        <v>1</v>
      </c>
    </row>
    <row r="33" spans="4:22" ht="13.5" thickBot="1">
      <c r="D33" s="460" t="s">
        <v>259</v>
      </c>
      <c r="E33" s="461">
        <v>102204</v>
      </c>
      <c r="F33" s="360">
        <f>E33*$F$32</f>
        <v>562122</v>
      </c>
      <c r="G33" s="467"/>
      <c r="H33" s="376">
        <v>1083759</v>
      </c>
      <c r="I33" s="469">
        <f>E33+H33</f>
        <v>1185963</v>
      </c>
      <c r="J33" s="376"/>
      <c r="K33" s="376"/>
      <c r="L33" s="359"/>
      <c r="M33" s="359"/>
      <c r="N33" s="359"/>
      <c r="U33" s="351" t="s">
        <v>169</v>
      </c>
      <c r="V33" s="352">
        <v>1</v>
      </c>
    </row>
    <row r="34" spans="4:22" ht="13.5" thickBot="1">
      <c r="D34" s="460" t="s">
        <v>260</v>
      </c>
      <c r="E34" s="461">
        <v>105676</v>
      </c>
      <c r="F34" s="360">
        <f aca="true" t="shared" si="2" ref="F34:F40">E34*$F$32</f>
        <v>581218</v>
      </c>
      <c r="G34" s="467"/>
      <c r="H34" s="376">
        <v>1305877</v>
      </c>
      <c r="I34" s="470">
        <f aca="true" t="shared" si="3" ref="I34:I40">E34+H34</f>
        <v>1411553</v>
      </c>
      <c r="J34" s="376"/>
      <c r="K34" s="376"/>
      <c r="L34" s="359"/>
      <c r="M34" s="359"/>
      <c r="N34" s="359"/>
      <c r="U34" s="351" t="s">
        <v>170</v>
      </c>
      <c r="V34" s="352">
        <v>1</v>
      </c>
    </row>
    <row r="35" spans="4:22" ht="13.5" thickBot="1">
      <c r="D35" s="458" t="s">
        <v>261</v>
      </c>
      <c r="E35" s="462">
        <v>123329</v>
      </c>
      <c r="F35" s="360">
        <f t="shared" si="2"/>
        <v>678309.5</v>
      </c>
      <c r="G35" s="467"/>
      <c r="H35" s="376">
        <v>1560538</v>
      </c>
      <c r="I35" s="470">
        <f t="shared" si="3"/>
        <v>1683867</v>
      </c>
      <c r="J35" s="376"/>
      <c r="K35" s="376"/>
      <c r="L35" s="359"/>
      <c r="M35" s="359"/>
      <c r="N35" s="359"/>
      <c r="U35" s="351" t="s">
        <v>171</v>
      </c>
      <c r="V35" s="352">
        <v>7</v>
      </c>
    </row>
    <row r="36" spans="4:22" ht="13.5" thickBot="1">
      <c r="D36" s="460" t="s">
        <v>262</v>
      </c>
      <c r="E36" s="461">
        <v>122102</v>
      </c>
      <c r="F36" s="360">
        <f t="shared" si="2"/>
        <v>671561</v>
      </c>
      <c r="G36" s="467"/>
      <c r="H36" s="376">
        <v>1431345</v>
      </c>
      <c r="I36" s="470">
        <f t="shared" si="3"/>
        <v>1553447</v>
      </c>
      <c r="J36" s="376"/>
      <c r="K36" s="376"/>
      <c r="L36" s="359"/>
      <c r="M36" s="359"/>
      <c r="N36" s="359"/>
      <c r="U36" s="351" t="s">
        <v>172</v>
      </c>
      <c r="V36" s="352">
        <v>2</v>
      </c>
    </row>
    <row r="37" spans="4:22" ht="13.5" thickBot="1">
      <c r="D37" s="456" t="s">
        <v>263</v>
      </c>
      <c r="E37" s="461">
        <v>126348</v>
      </c>
      <c r="F37" s="360">
        <f t="shared" si="2"/>
        <v>694914</v>
      </c>
      <c r="G37" s="467"/>
      <c r="H37" s="376">
        <v>1589120</v>
      </c>
      <c r="I37" s="470">
        <f t="shared" si="3"/>
        <v>1715468</v>
      </c>
      <c r="J37" s="375"/>
      <c r="K37" s="376"/>
      <c r="L37" s="369"/>
      <c r="M37" s="369"/>
      <c r="N37" s="369"/>
      <c r="U37" s="351" t="s">
        <v>173</v>
      </c>
      <c r="V37" s="352">
        <v>1</v>
      </c>
    </row>
    <row r="38" spans="4:22" ht="13.5" thickBot="1">
      <c r="D38" s="460" t="s">
        <v>264</v>
      </c>
      <c r="E38" s="461">
        <v>121144</v>
      </c>
      <c r="F38" s="360">
        <f t="shared" si="2"/>
        <v>666292</v>
      </c>
      <c r="G38" s="467"/>
      <c r="H38" s="376">
        <v>1507383</v>
      </c>
      <c r="I38" s="470">
        <f t="shared" si="3"/>
        <v>1628527</v>
      </c>
      <c r="J38" s="376"/>
      <c r="K38" s="376"/>
      <c r="L38" s="369"/>
      <c r="M38" s="369"/>
      <c r="N38" s="369"/>
      <c r="U38" s="351" t="s">
        <v>174</v>
      </c>
      <c r="V38" s="352">
        <v>1</v>
      </c>
    </row>
    <row r="39" spans="4:22" ht="13.5" thickBot="1">
      <c r="D39" s="460" t="s">
        <v>265</v>
      </c>
      <c r="E39" s="461">
        <v>123965</v>
      </c>
      <c r="F39" s="360">
        <f t="shared" si="2"/>
        <v>681807.5</v>
      </c>
      <c r="G39" s="467"/>
      <c r="H39" s="376">
        <v>1390291</v>
      </c>
      <c r="I39" s="470">
        <f t="shared" si="3"/>
        <v>1514256</v>
      </c>
      <c r="J39" s="376"/>
      <c r="K39" s="376"/>
      <c r="L39" s="359"/>
      <c r="M39" s="359"/>
      <c r="N39" s="359"/>
      <c r="U39" s="351" t="s">
        <v>175</v>
      </c>
      <c r="V39" s="352">
        <v>1</v>
      </c>
    </row>
    <row r="40" spans="4:22" ht="13.5" thickBot="1">
      <c r="D40" s="457" t="s">
        <v>266</v>
      </c>
      <c r="E40" s="459">
        <v>129838</v>
      </c>
      <c r="F40" s="360">
        <f t="shared" si="2"/>
        <v>714109</v>
      </c>
      <c r="G40" s="467"/>
      <c r="H40" s="376">
        <v>1595504</v>
      </c>
      <c r="I40" s="471">
        <f t="shared" si="3"/>
        <v>1725342</v>
      </c>
      <c r="J40" s="377"/>
      <c r="K40" s="376"/>
      <c r="L40" s="359"/>
      <c r="M40" s="359"/>
      <c r="N40" s="359"/>
      <c r="U40" s="351" t="s">
        <v>176</v>
      </c>
      <c r="V40" s="352">
        <v>1</v>
      </c>
    </row>
    <row r="41" spans="3:22" ht="16.5" thickBot="1">
      <c r="C41" s="359"/>
      <c r="D41" s="464" t="s">
        <v>267</v>
      </c>
      <c r="E41" s="465">
        <f>SUM(E33:E40)</f>
        <v>954606</v>
      </c>
      <c r="F41" s="466">
        <f>SUM(F33:F40)</f>
        <v>5250333</v>
      </c>
      <c r="G41" s="468"/>
      <c r="H41" s="377"/>
      <c r="I41" s="377"/>
      <c r="J41" s="377"/>
      <c r="K41" s="377"/>
      <c r="L41" s="359"/>
      <c r="M41" s="359"/>
      <c r="N41" s="359"/>
      <c r="U41" s="351" t="s">
        <v>177</v>
      </c>
      <c r="V41" s="352">
        <v>2</v>
      </c>
    </row>
    <row r="42" spans="3:22" ht="15.75">
      <c r="C42" s="359"/>
      <c r="D42" s="361"/>
      <c r="E42" s="472" t="s">
        <v>268</v>
      </c>
      <c r="F42" s="472">
        <v>5457679.98</v>
      </c>
      <c r="G42" s="361"/>
      <c r="H42" s="359"/>
      <c r="I42" s="359"/>
      <c r="J42" s="359"/>
      <c r="K42" s="359"/>
      <c r="L42" s="359"/>
      <c r="M42" s="359"/>
      <c r="N42" s="359"/>
      <c r="U42" s="351" t="s">
        <v>178</v>
      </c>
      <c r="V42" s="352">
        <v>1</v>
      </c>
    </row>
    <row r="43" spans="3:22" ht="15.75">
      <c r="C43" s="359"/>
      <c r="D43" s="361"/>
      <c r="E43" s="361"/>
      <c r="F43" s="361"/>
      <c r="G43" s="361"/>
      <c r="H43" s="359"/>
      <c r="I43" s="359"/>
      <c r="J43" s="359"/>
      <c r="K43" s="483"/>
      <c r="L43" s="483"/>
      <c r="M43" s="483"/>
      <c r="N43" s="483"/>
      <c r="U43" s="351" t="s">
        <v>179</v>
      </c>
      <c r="V43" s="352">
        <v>1</v>
      </c>
    </row>
    <row r="44" spans="3:22" ht="12">
      <c r="C44" s="359"/>
      <c r="D44" s="359"/>
      <c r="E44" s="359"/>
      <c r="F44" s="359"/>
      <c r="G44" s="359"/>
      <c r="H44" s="359"/>
      <c r="I44" s="359"/>
      <c r="J44" s="359"/>
      <c r="K44" s="483"/>
      <c r="L44" s="483"/>
      <c r="M44" s="483"/>
      <c r="N44" s="483"/>
      <c r="U44" s="351" t="s">
        <v>180</v>
      </c>
      <c r="V44" s="352">
        <v>1</v>
      </c>
    </row>
    <row r="45" spans="3:22" ht="12"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U45" s="351" t="s">
        <v>181</v>
      </c>
      <c r="V45" s="352">
        <v>1</v>
      </c>
    </row>
    <row r="46" spans="3:22" ht="12"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U46" s="351" t="s">
        <v>182</v>
      </c>
      <c r="V46" s="352">
        <v>1</v>
      </c>
    </row>
    <row r="47" spans="3:22" ht="12">
      <c r="C47" s="359"/>
      <c r="D47" s="359"/>
      <c r="E47" s="359"/>
      <c r="F47" s="359"/>
      <c r="G47" s="359"/>
      <c r="H47" s="359"/>
      <c r="I47" s="359"/>
      <c r="J47" s="359"/>
      <c r="K47" s="483"/>
      <c r="L47" s="483"/>
      <c r="M47" s="483"/>
      <c r="N47" s="483"/>
      <c r="O47" s="232"/>
      <c r="U47" s="351" t="s">
        <v>183</v>
      </c>
      <c r="V47" s="352">
        <v>1</v>
      </c>
    </row>
    <row r="48" spans="3:22" ht="12">
      <c r="C48" s="359"/>
      <c r="D48" s="359"/>
      <c r="E48" s="359"/>
      <c r="F48" s="359"/>
      <c r="G48" s="359"/>
      <c r="H48" s="359"/>
      <c r="I48" s="359"/>
      <c r="J48" s="359"/>
      <c r="K48" s="483"/>
      <c r="L48" s="483"/>
      <c r="M48" s="483"/>
      <c r="N48" s="483"/>
      <c r="U48" s="351" t="s">
        <v>184</v>
      </c>
      <c r="V48" s="352">
        <v>15</v>
      </c>
    </row>
    <row r="49" spans="3:22" ht="12">
      <c r="C49" s="359"/>
      <c r="D49" s="362"/>
      <c r="E49" s="362"/>
      <c r="F49" s="362"/>
      <c r="G49" s="359"/>
      <c r="H49" s="359"/>
      <c r="I49" s="359"/>
      <c r="J49" s="359"/>
      <c r="K49" s="496"/>
      <c r="L49" s="496"/>
      <c r="M49" s="496"/>
      <c r="N49" s="496"/>
      <c r="U49" s="351" t="s">
        <v>185</v>
      </c>
      <c r="V49" s="352">
        <v>1</v>
      </c>
    </row>
    <row r="50" spans="3:22" ht="12">
      <c r="C50" s="359"/>
      <c r="G50" s="359"/>
      <c r="H50" s="359"/>
      <c r="I50" s="359"/>
      <c r="J50" s="359"/>
      <c r="K50" s="359"/>
      <c r="L50" s="359"/>
      <c r="M50" s="359"/>
      <c r="N50" s="359"/>
      <c r="U50" s="351" t="s">
        <v>186</v>
      </c>
      <c r="V50" s="352">
        <v>5</v>
      </c>
    </row>
    <row r="51" spans="3:22" ht="12">
      <c r="C51" s="359"/>
      <c r="G51" s="359"/>
      <c r="H51" s="359"/>
      <c r="I51" s="359"/>
      <c r="J51" s="359"/>
      <c r="K51" s="359"/>
      <c r="L51" s="359"/>
      <c r="M51" s="359"/>
      <c r="N51" s="359"/>
      <c r="U51" s="351" t="s">
        <v>187</v>
      </c>
      <c r="V51" s="352">
        <v>2</v>
      </c>
    </row>
    <row r="52" spans="3:22" ht="12">
      <c r="C52" s="359"/>
      <c r="G52" s="359"/>
      <c r="H52" s="359"/>
      <c r="I52" s="359"/>
      <c r="J52" s="359"/>
      <c r="K52" s="359"/>
      <c r="L52" s="359"/>
      <c r="M52" s="359"/>
      <c r="N52" s="359"/>
      <c r="U52" s="351" t="s">
        <v>188</v>
      </c>
      <c r="V52" s="352">
        <v>1</v>
      </c>
    </row>
    <row r="53" spans="3:22" ht="12"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U53" s="351" t="s">
        <v>189</v>
      </c>
      <c r="V53" s="352">
        <v>1</v>
      </c>
    </row>
    <row r="54" spans="3:22" ht="12"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U54" s="351" t="s">
        <v>190</v>
      </c>
      <c r="V54" s="352">
        <v>1</v>
      </c>
    </row>
    <row r="55" spans="3:22" ht="12"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U55" s="351" t="s">
        <v>191</v>
      </c>
      <c r="V55" s="352">
        <v>1</v>
      </c>
    </row>
    <row r="56" spans="3:22" ht="12">
      <c r="C56" s="359"/>
      <c r="D56" s="359"/>
      <c r="E56" s="359"/>
      <c r="F56" s="359"/>
      <c r="G56" s="359"/>
      <c r="H56" s="359"/>
      <c r="I56" s="359"/>
      <c r="J56" s="359"/>
      <c r="K56" s="359"/>
      <c r="L56" s="359"/>
      <c r="M56" s="359"/>
      <c r="N56" s="359"/>
      <c r="U56" s="351" t="s">
        <v>192</v>
      </c>
      <c r="V56" s="352">
        <v>1</v>
      </c>
    </row>
    <row r="57" spans="3:22" ht="12">
      <c r="C57" s="359"/>
      <c r="D57" s="359"/>
      <c r="E57" s="359"/>
      <c r="F57" s="359"/>
      <c r="G57" s="359"/>
      <c r="H57" s="359"/>
      <c r="I57" s="359"/>
      <c r="J57" s="359"/>
      <c r="K57" s="483"/>
      <c r="L57" s="483"/>
      <c r="M57" s="483"/>
      <c r="N57" s="483"/>
      <c r="U57" s="351" t="s">
        <v>193</v>
      </c>
      <c r="V57" s="352">
        <v>2</v>
      </c>
    </row>
    <row r="58" spans="3:22" ht="12">
      <c r="C58" s="359"/>
      <c r="D58" s="359"/>
      <c r="E58" s="359"/>
      <c r="F58" s="359"/>
      <c r="G58" s="359"/>
      <c r="H58" s="359"/>
      <c r="I58" s="359"/>
      <c r="J58" s="359"/>
      <c r="K58" s="483"/>
      <c r="L58" s="483"/>
      <c r="M58" s="483"/>
      <c r="N58" s="483"/>
      <c r="U58" s="351" t="s">
        <v>194</v>
      </c>
      <c r="V58" s="352">
        <v>3</v>
      </c>
    </row>
    <row r="59" spans="3:22" ht="12">
      <c r="C59" s="359"/>
      <c r="D59" s="359"/>
      <c r="E59" s="359"/>
      <c r="F59" s="359"/>
      <c r="G59" s="359"/>
      <c r="H59" s="359"/>
      <c r="I59" s="359"/>
      <c r="J59" s="359"/>
      <c r="K59" s="359"/>
      <c r="L59" s="359"/>
      <c r="M59" s="359"/>
      <c r="N59" s="359"/>
      <c r="U59" s="351" t="s">
        <v>195</v>
      </c>
      <c r="V59" s="352">
        <v>2</v>
      </c>
    </row>
    <row r="60" spans="3:22" ht="12">
      <c r="C60" s="359"/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U60" s="351" t="s">
        <v>196</v>
      </c>
      <c r="V60" s="352">
        <v>1</v>
      </c>
    </row>
    <row r="61" spans="21:22" ht="12">
      <c r="U61" s="351" t="s">
        <v>197</v>
      </c>
      <c r="V61" s="352">
        <v>26</v>
      </c>
    </row>
    <row r="62" spans="21:22" ht="12">
      <c r="U62" s="351" t="s">
        <v>198</v>
      </c>
      <c r="V62" s="352">
        <v>1</v>
      </c>
    </row>
    <row r="63" spans="21:22" ht="12">
      <c r="U63" s="351" t="s">
        <v>199</v>
      </c>
      <c r="V63" s="352">
        <v>6</v>
      </c>
    </row>
    <row r="64" spans="21:22" ht="12">
      <c r="U64" s="351" t="s">
        <v>200</v>
      </c>
      <c r="V64" s="352">
        <v>3</v>
      </c>
    </row>
    <row r="65" spans="21:22" ht="12">
      <c r="U65" s="351" t="s">
        <v>201</v>
      </c>
      <c r="V65" s="352">
        <v>11</v>
      </c>
    </row>
    <row r="66" spans="21:22" ht="12">
      <c r="U66" s="351" t="s">
        <v>202</v>
      </c>
      <c r="V66" s="352">
        <v>3</v>
      </c>
    </row>
    <row r="67" spans="21:22" ht="12">
      <c r="U67" s="351" t="s">
        <v>203</v>
      </c>
      <c r="V67" s="352">
        <v>5</v>
      </c>
    </row>
    <row r="68" spans="21:22" ht="12">
      <c r="U68" s="351" t="s">
        <v>204</v>
      </c>
      <c r="V68" s="352">
        <v>12</v>
      </c>
    </row>
    <row r="69" spans="11:22" ht="12">
      <c r="K69" s="480"/>
      <c r="L69" s="481"/>
      <c r="M69" s="481"/>
      <c r="N69" s="481"/>
      <c r="U69" s="351" t="s">
        <v>205</v>
      </c>
      <c r="V69" s="352">
        <v>5</v>
      </c>
    </row>
    <row r="70" spans="11:22" ht="12">
      <c r="K70" s="480"/>
      <c r="L70" s="481"/>
      <c r="M70" s="481"/>
      <c r="N70" s="481"/>
      <c r="U70" s="351" t="s">
        <v>206</v>
      </c>
      <c r="V70" s="352">
        <v>1</v>
      </c>
    </row>
    <row r="71" spans="21:22" ht="12">
      <c r="U71" s="351" t="s">
        <v>207</v>
      </c>
      <c r="V71" s="352">
        <v>1</v>
      </c>
    </row>
    <row r="72" spans="21:22" ht="12">
      <c r="U72" s="351" t="s">
        <v>208</v>
      </c>
      <c r="V72" s="352">
        <v>14</v>
      </c>
    </row>
    <row r="73" spans="21:22" ht="12">
      <c r="U73" s="351" t="s">
        <v>209</v>
      </c>
      <c r="V73" s="352">
        <v>598</v>
      </c>
    </row>
    <row r="74" spans="21:22" ht="12">
      <c r="U74" s="351" t="s">
        <v>210</v>
      </c>
      <c r="V74" s="352">
        <v>2</v>
      </c>
    </row>
    <row r="75" spans="21:22" ht="12">
      <c r="U75" s="351" t="s">
        <v>211</v>
      </c>
      <c r="V75" s="352">
        <v>5</v>
      </c>
    </row>
    <row r="76" spans="21:22" ht="12">
      <c r="U76" s="351" t="s">
        <v>212</v>
      </c>
      <c r="V76" s="352">
        <v>1</v>
      </c>
    </row>
    <row r="77" spans="21:22" ht="12">
      <c r="U77" s="351" t="s">
        <v>213</v>
      </c>
      <c r="V77" s="352">
        <v>1</v>
      </c>
    </row>
    <row r="78" spans="21:22" ht="12">
      <c r="U78" s="351" t="s">
        <v>214</v>
      </c>
      <c r="V78" s="352">
        <v>1</v>
      </c>
    </row>
    <row r="79" spans="21:22" ht="12">
      <c r="U79" s="351" t="s">
        <v>215</v>
      </c>
      <c r="V79" s="352">
        <v>1</v>
      </c>
    </row>
    <row r="80" spans="21:22" ht="12">
      <c r="U80" s="351" t="s">
        <v>216</v>
      </c>
      <c r="V80" s="352">
        <v>1</v>
      </c>
    </row>
    <row r="81" spans="21:22" ht="12">
      <c r="U81" s="351" t="s">
        <v>217</v>
      </c>
      <c r="V81" s="352">
        <v>1</v>
      </c>
    </row>
    <row r="82" spans="21:22" ht="12">
      <c r="U82" s="351" t="s">
        <v>218</v>
      </c>
      <c r="V82" s="352">
        <v>4</v>
      </c>
    </row>
    <row r="83" spans="21:22" ht="12">
      <c r="U83" s="351" t="s">
        <v>219</v>
      </c>
      <c r="V83" s="352">
        <v>1</v>
      </c>
    </row>
    <row r="84" spans="21:22" ht="12">
      <c r="U84" s="351" t="s">
        <v>220</v>
      </c>
      <c r="V84" s="352">
        <v>1</v>
      </c>
    </row>
    <row r="85" spans="21:22" ht="12">
      <c r="U85" s="351" t="s">
        <v>221</v>
      </c>
      <c r="V85" s="352">
        <v>1</v>
      </c>
    </row>
    <row r="86" spans="21:22" ht="12">
      <c r="U86" s="351" t="s">
        <v>222</v>
      </c>
      <c r="V86" s="352">
        <v>1</v>
      </c>
    </row>
    <row r="87" spans="21:22" ht="12">
      <c r="U87" s="351" t="s">
        <v>223</v>
      </c>
      <c r="V87" s="352">
        <v>1</v>
      </c>
    </row>
    <row r="88" spans="21:22" ht="12">
      <c r="U88" s="351" t="s">
        <v>224</v>
      </c>
      <c r="V88" s="352">
        <v>1</v>
      </c>
    </row>
    <row r="89" spans="21:22" ht="12">
      <c r="U89" s="351" t="s">
        <v>225</v>
      </c>
      <c r="V89" s="352">
        <v>1</v>
      </c>
    </row>
    <row r="90" spans="21:22" ht="12">
      <c r="U90" s="351" t="s">
        <v>226</v>
      </c>
      <c r="V90" s="352">
        <v>1</v>
      </c>
    </row>
    <row r="91" spans="21:22" ht="12">
      <c r="U91" s="351" t="s">
        <v>227</v>
      </c>
      <c r="V91" s="352">
        <v>2</v>
      </c>
    </row>
    <row r="92" spans="21:22" ht="12">
      <c r="U92" s="351" t="s">
        <v>228</v>
      </c>
      <c r="V92" s="352">
        <v>504</v>
      </c>
    </row>
    <row r="93" spans="21:22" ht="12">
      <c r="U93" s="351" t="s">
        <v>229</v>
      </c>
      <c r="V93" s="352">
        <v>4</v>
      </c>
    </row>
    <row r="94" spans="21:22" ht="12">
      <c r="U94" s="351" t="s">
        <v>230</v>
      </c>
      <c r="V94" s="352">
        <v>1</v>
      </c>
    </row>
    <row r="95" spans="21:22" ht="12">
      <c r="U95" s="351" t="s">
        <v>231</v>
      </c>
      <c r="V95" s="352">
        <v>2</v>
      </c>
    </row>
    <row r="96" spans="21:22" ht="12">
      <c r="U96" s="351" t="s">
        <v>143</v>
      </c>
      <c r="V96" s="352"/>
    </row>
    <row r="97" spans="21:22" ht="12">
      <c r="U97" s="353" t="s">
        <v>21</v>
      </c>
      <c r="V97" s="354">
        <v>1318</v>
      </c>
    </row>
  </sheetData>
  <sheetProtection/>
  <mergeCells count="28">
    <mergeCell ref="B12:C12"/>
    <mergeCell ref="K49:N49"/>
    <mergeCell ref="F10:G10"/>
    <mergeCell ref="D16:E16"/>
    <mergeCell ref="M2:S2"/>
    <mergeCell ref="B2:K2"/>
    <mergeCell ref="B11:C11"/>
    <mergeCell ref="B4:C4"/>
    <mergeCell ref="D3:G3"/>
    <mergeCell ref="F9:G9"/>
    <mergeCell ref="H3:K3"/>
    <mergeCell ref="K69:N69"/>
    <mergeCell ref="K43:N43"/>
    <mergeCell ref="G11:J11"/>
    <mergeCell ref="F8:G8"/>
    <mergeCell ref="K58:N58"/>
    <mergeCell ref="K57:N57"/>
    <mergeCell ref="H32:I32"/>
    <mergeCell ref="K70:N70"/>
    <mergeCell ref="M25:S25"/>
    <mergeCell ref="K47:N47"/>
    <mergeCell ref="K48:N48"/>
    <mergeCell ref="K44:N44"/>
    <mergeCell ref="D14:E14"/>
    <mergeCell ref="D15:E15"/>
    <mergeCell ref="D17:E17"/>
    <mergeCell ref="D18:E18"/>
    <mergeCell ref="D32:E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3"/>
  <ignoredErrors>
    <ignoredError sqref="O15 O17 R15 R1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1"/>
  <sheetViews>
    <sheetView showGridLines="0" zoomScale="115" zoomScaleNormal="115" zoomScalePageLayoutView="0" workbookViewId="0" topLeftCell="H1">
      <selection activeCell="N9" sqref="N9"/>
    </sheetView>
  </sheetViews>
  <sheetFormatPr defaultColWidth="9.00390625" defaultRowHeight="12.75"/>
  <cols>
    <col min="1" max="1" width="5.625" style="1" customWidth="1"/>
    <col min="2" max="2" width="10.625" style="1" customWidth="1"/>
    <col min="3" max="7" width="9.625" style="1" customWidth="1"/>
    <col min="8" max="8" width="10.625" style="1" customWidth="1"/>
    <col min="9" max="9" width="6.375" style="1" customWidth="1"/>
    <col min="10" max="10" width="20.625" style="1" customWidth="1"/>
    <col min="11" max="11" width="11.375" style="1" customWidth="1"/>
    <col min="12" max="12" width="5.625" style="1" customWidth="1"/>
    <col min="13" max="13" width="20.625" style="1" customWidth="1"/>
    <col min="14" max="14" width="14.375" style="1" customWidth="1"/>
    <col min="15" max="15" width="11.875" style="1" bestFit="1" customWidth="1"/>
    <col min="16" max="16" width="22.50390625" style="1" customWidth="1"/>
    <col min="17" max="17" width="12.50390625" style="1" customWidth="1"/>
    <col min="18" max="16384" width="9.00390625" style="1" customWidth="1"/>
  </cols>
  <sheetData>
    <row r="1" ht="11.25"/>
    <row r="2" spans="2:10" s="2" customFormat="1" ht="13.5" customHeight="1">
      <c r="B2" s="423" t="s">
        <v>39</v>
      </c>
      <c r="C2" s="424"/>
      <c r="D2" s="424"/>
      <c r="E2" s="424"/>
      <c r="F2" s="424"/>
      <c r="G2" s="424"/>
      <c r="H2" s="424"/>
      <c r="I2" s="8"/>
      <c r="J2" s="35"/>
    </row>
    <row r="3" spans="2:19" s="2" customFormat="1" ht="13.5" customHeight="1">
      <c r="B3" s="513"/>
      <c r="C3" s="514"/>
      <c r="D3" s="37" t="s">
        <v>40</v>
      </c>
      <c r="E3" s="38" t="s">
        <v>252</v>
      </c>
      <c r="F3" s="38" t="s">
        <v>41</v>
      </c>
      <c r="G3" s="38" t="s">
        <v>42</v>
      </c>
      <c r="H3" s="39" t="s">
        <v>43</v>
      </c>
      <c r="I3" s="259"/>
      <c r="J3" s="510" t="s">
        <v>257</v>
      </c>
      <c r="K3" s="510"/>
      <c r="M3" s="511" t="s">
        <v>240</v>
      </c>
      <c r="N3" s="511"/>
      <c r="P3" s="281"/>
      <c r="Q3" s="281"/>
      <c r="R3" s="281"/>
      <c r="S3" s="281"/>
    </row>
    <row r="4" spans="2:19" s="2" customFormat="1" ht="13.5" customHeight="1">
      <c r="B4" s="516" t="s">
        <v>32</v>
      </c>
      <c r="C4" s="517"/>
      <c r="D4" s="446">
        <v>268000</v>
      </c>
      <c r="E4" s="447">
        <v>240000</v>
      </c>
      <c r="F4" s="36">
        <f>SUM(D4:E4)</f>
        <v>508000</v>
      </c>
      <c r="G4" s="36">
        <f>6*K17</f>
        <v>11083.8</v>
      </c>
      <c r="H4" s="151">
        <f>F4-G4</f>
        <v>496916.2</v>
      </c>
      <c r="I4" s="43"/>
      <c r="J4" s="401" t="s">
        <v>94</v>
      </c>
      <c r="K4" s="402">
        <v>2288.46</v>
      </c>
      <c r="M4" s="284" t="s">
        <v>151</v>
      </c>
      <c r="N4" s="426"/>
      <c r="O4" s="280" t="s">
        <v>116</v>
      </c>
      <c r="P4" s="518"/>
      <c r="Q4" s="518"/>
      <c r="R4" s="288"/>
      <c r="S4" s="281"/>
    </row>
    <row r="5" spans="2:19" s="2" customFormat="1" ht="13.5" customHeight="1">
      <c r="B5" s="516" t="s">
        <v>44</v>
      </c>
      <c r="C5" s="517"/>
      <c r="D5" s="448">
        <v>295000</v>
      </c>
      <c r="E5" s="449">
        <v>260000</v>
      </c>
      <c r="F5" s="36">
        <f>SUM(D5:E5)</f>
        <v>555000</v>
      </c>
      <c r="G5" s="36">
        <f>6*K17</f>
        <v>11083.8</v>
      </c>
      <c r="H5" s="151">
        <f>F5-G5</f>
        <v>543916.2</v>
      </c>
      <c r="I5" s="43"/>
      <c r="J5" s="403" t="s">
        <v>95</v>
      </c>
      <c r="K5" s="402">
        <v>1809.75</v>
      </c>
      <c r="L5" s="2" t="s">
        <v>250</v>
      </c>
      <c r="M5" s="284" t="s">
        <v>152</v>
      </c>
      <c r="N5" s="331">
        <v>0</v>
      </c>
      <c r="O5" s="288"/>
      <c r="P5" s="291"/>
      <c r="Q5" s="523"/>
      <c r="R5" s="523"/>
      <c r="S5" s="523"/>
    </row>
    <row r="6" spans="2:19" s="2" customFormat="1" ht="13.5" customHeight="1">
      <c r="B6" s="516" t="s">
        <v>26</v>
      </c>
      <c r="C6" s="517"/>
      <c r="D6" s="435">
        <v>718000</v>
      </c>
      <c r="E6" s="447">
        <v>510000</v>
      </c>
      <c r="F6" s="36">
        <f>SUM(D6:E6)</f>
        <v>1228000</v>
      </c>
      <c r="G6" s="36">
        <f>10*K18</f>
        <v>19990</v>
      </c>
      <c r="H6" s="151">
        <f>F6-G6</f>
        <v>1208010</v>
      </c>
      <c r="I6" s="43"/>
      <c r="J6" s="404" t="s">
        <v>53</v>
      </c>
      <c r="K6" s="402">
        <v>1370.87</v>
      </c>
      <c r="M6" s="527" t="s">
        <v>116</v>
      </c>
      <c r="N6" s="527"/>
      <c r="O6" s="288"/>
      <c r="P6" s="292"/>
      <c r="Q6" s="523"/>
      <c r="R6" s="523"/>
      <c r="S6" s="523"/>
    </row>
    <row r="7" spans="2:19" s="2" customFormat="1" ht="13.5" customHeight="1">
      <c r="B7" s="42"/>
      <c r="C7" s="42"/>
      <c r="D7" s="43"/>
      <c r="E7" s="43" t="s">
        <v>256</v>
      </c>
      <c r="F7" s="43"/>
      <c r="G7" s="43"/>
      <c r="H7" s="280"/>
      <c r="I7" s="44"/>
      <c r="J7" s="103" t="s">
        <v>108</v>
      </c>
      <c r="K7" s="185">
        <v>0.423893</v>
      </c>
      <c r="M7" s="515" t="s">
        <v>118</v>
      </c>
      <c r="N7" s="515"/>
      <c r="O7" s="288"/>
      <c r="P7" s="293"/>
      <c r="Q7" s="523"/>
      <c r="R7" s="523"/>
      <c r="S7" s="523"/>
    </row>
    <row r="8" spans="2:19" s="2" customFormat="1" ht="13.5" customHeight="1">
      <c r="B8" s="368" t="s">
        <v>145</v>
      </c>
      <c r="C8" s="8"/>
      <c r="D8" s="8"/>
      <c r="E8" s="8"/>
      <c r="F8" s="8"/>
      <c r="G8" s="8"/>
      <c r="H8" s="43"/>
      <c r="I8" s="43"/>
      <c r="M8" s="285" t="s">
        <v>151</v>
      </c>
      <c r="N8" s="332">
        <v>5.546</v>
      </c>
      <c r="O8" s="280" t="s">
        <v>253</v>
      </c>
      <c r="P8" s="288"/>
      <c r="Q8" s="523"/>
      <c r="R8" s="523"/>
      <c r="S8" s="523"/>
    </row>
    <row r="9" spans="2:19" s="2" customFormat="1" ht="13.5" customHeight="1">
      <c r="B9" s="51" t="s">
        <v>45</v>
      </c>
      <c r="C9" s="53" t="s">
        <v>25</v>
      </c>
      <c r="D9" s="40" t="s">
        <v>44</v>
      </c>
      <c r="E9" s="40" t="s">
        <v>32</v>
      </c>
      <c r="F9" s="40" t="s">
        <v>26</v>
      </c>
      <c r="G9" s="41" t="s">
        <v>46</v>
      </c>
      <c r="H9" s="43"/>
      <c r="I9" s="43"/>
      <c r="J9" s="510" t="s">
        <v>239</v>
      </c>
      <c r="K9" s="510"/>
      <c r="L9" s="8"/>
      <c r="M9" s="285" t="s">
        <v>152</v>
      </c>
      <c r="O9" s="288"/>
      <c r="P9" s="281"/>
      <c r="Q9" s="524"/>
      <c r="R9" s="524"/>
      <c r="S9" s="524"/>
    </row>
    <row r="10" spans="2:19" s="3" customFormat="1" ht="13.5" customHeight="1">
      <c r="B10" s="52">
        <v>2022</v>
      </c>
      <c r="C10" s="54">
        <v>0</v>
      </c>
      <c r="D10" s="45">
        <v>0</v>
      </c>
      <c r="E10" s="45">
        <v>0</v>
      </c>
      <c r="F10" s="45">
        <v>0</v>
      </c>
      <c r="G10" s="46">
        <f>SUM(C10:F10)</f>
        <v>0</v>
      </c>
      <c r="H10" s="303"/>
      <c r="I10" s="43"/>
      <c r="J10" s="401" t="s">
        <v>109</v>
      </c>
      <c r="K10" s="402">
        <v>800</v>
      </c>
      <c r="L10" s="80" t="s">
        <v>250</v>
      </c>
      <c r="M10" s="282"/>
      <c r="N10" s="323"/>
      <c r="O10" s="289"/>
      <c r="P10" s="519" t="s">
        <v>127</v>
      </c>
      <c r="Q10" s="519"/>
      <c r="R10" s="519"/>
      <c r="S10" s="519"/>
    </row>
    <row r="11" spans="2:19" s="2" customFormat="1" ht="13.5" customHeight="1">
      <c r="B11" s="52">
        <v>2021</v>
      </c>
      <c r="C11" s="54">
        <v>0</v>
      </c>
      <c r="D11" s="45">
        <v>0</v>
      </c>
      <c r="E11" s="45">
        <v>0</v>
      </c>
      <c r="F11" s="45">
        <v>0</v>
      </c>
      <c r="G11" s="46">
        <f>SUM(C11:F11)</f>
        <v>0</v>
      </c>
      <c r="H11" s="203"/>
      <c r="I11" s="203"/>
      <c r="J11" s="404" t="s">
        <v>110</v>
      </c>
      <c r="K11" s="405">
        <f>K10</f>
        <v>800</v>
      </c>
      <c r="L11" s="80"/>
      <c r="M11" s="526" t="s">
        <v>119</v>
      </c>
      <c r="N11" s="526"/>
      <c r="O11" s="288"/>
      <c r="P11" s="520"/>
      <c r="Q11" s="520"/>
      <c r="R11" s="520"/>
      <c r="S11" s="520"/>
    </row>
    <row r="12" spans="2:19" s="2" customFormat="1" ht="13.5" customHeight="1">
      <c r="B12" s="52">
        <v>2020</v>
      </c>
      <c r="C12" s="54">
        <v>0</v>
      </c>
      <c r="D12" s="45">
        <v>22</v>
      </c>
      <c r="E12" s="45">
        <v>9</v>
      </c>
      <c r="F12" s="45">
        <v>0</v>
      </c>
      <c r="G12" s="46">
        <f>SUM(C12:F12)</f>
        <v>31</v>
      </c>
      <c r="H12" s="8"/>
      <c r="I12" s="8"/>
      <c r="L12" s="80"/>
      <c r="M12" s="287" t="s">
        <v>117</v>
      </c>
      <c r="N12" s="332">
        <v>3.15</v>
      </c>
      <c r="O12" s="280" t="s">
        <v>253</v>
      </c>
      <c r="P12" s="286" t="s">
        <v>122</v>
      </c>
      <c r="Q12" s="201"/>
      <c r="R12" s="201" t="s">
        <v>123</v>
      </c>
      <c r="S12" s="201" t="s">
        <v>124</v>
      </c>
    </row>
    <row r="13" spans="2:19" s="2" customFormat="1" ht="13.5" customHeight="1">
      <c r="B13" s="52">
        <v>2019</v>
      </c>
      <c r="C13" s="54">
        <v>0</v>
      </c>
      <c r="D13" s="45">
        <v>30</v>
      </c>
      <c r="E13" s="45">
        <v>0</v>
      </c>
      <c r="F13" s="45">
        <v>0</v>
      </c>
      <c r="G13" s="46">
        <f>SUM(C13:F13)</f>
        <v>30</v>
      </c>
      <c r="H13" s="8"/>
      <c r="I13" s="58"/>
      <c r="J13" s="510" t="s">
        <v>238</v>
      </c>
      <c r="K13" s="510"/>
      <c r="L13" s="80"/>
      <c r="M13" s="285"/>
      <c r="N13" s="330"/>
      <c r="O13" s="290"/>
      <c r="P13" s="521" t="s">
        <v>26</v>
      </c>
      <c r="Q13" s="522"/>
      <c r="R13" s="275">
        <f aca="true" t="shared" si="0" ref="R13:S15">C40</f>
        <v>1</v>
      </c>
      <c r="S13" s="275">
        <f t="shared" si="0"/>
        <v>0</v>
      </c>
    </row>
    <row r="14" spans="2:19" s="2" customFormat="1" ht="13.5" customHeight="1">
      <c r="B14" s="52">
        <v>2018</v>
      </c>
      <c r="C14" s="54">
        <v>0</v>
      </c>
      <c r="D14" s="45">
        <v>7</v>
      </c>
      <c r="E14" s="45">
        <v>10</v>
      </c>
      <c r="F14" s="45">
        <v>0</v>
      </c>
      <c r="G14" s="46">
        <f aca="true" t="shared" si="1" ref="G14:G22">SUM(C14:F14)</f>
        <v>17</v>
      </c>
      <c r="H14" s="8"/>
      <c r="I14" s="58"/>
      <c r="J14" s="101" t="s">
        <v>81</v>
      </c>
      <c r="K14" s="299">
        <v>0</v>
      </c>
      <c r="L14" s="325" t="s">
        <v>116</v>
      </c>
      <c r="P14" s="521" t="s">
        <v>125</v>
      </c>
      <c r="Q14" s="522"/>
      <c r="R14" s="275">
        <f t="shared" si="0"/>
        <v>1</v>
      </c>
      <c r="S14" s="275">
        <f t="shared" si="0"/>
        <v>0</v>
      </c>
    </row>
    <row r="15" spans="2:19" s="2" customFormat="1" ht="13.5" customHeight="1">
      <c r="B15" s="52">
        <v>2017</v>
      </c>
      <c r="C15" s="54">
        <v>0</v>
      </c>
      <c r="D15" s="45">
        <v>25</v>
      </c>
      <c r="E15" s="45">
        <v>3</v>
      </c>
      <c r="F15" s="45">
        <v>0</v>
      </c>
      <c r="G15" s="46">
        <f t="shared" si="1"/>
        <v>28</v>
      </c>
      <c r="H15" s="8"/>
      <c r="I15" s="58"/>
      <c r="L15" s="80"/>
      <c r="M15" s="400"/>
      <c r="N15" s="294"/>
      <c r="O15" s="281"/>
      <c r="P15" s="525" t="s">
        <v>126</v>
      </c>
      <c r="Q15" s="522"/>
      <c r="R15" s="275">
        <f t="shared" si="0"/>
        <v>1</v>
      </c>
      <c r="S15" s="275">
        <f t="shared" si="0"/>
        <v>0</v>
      </c>
    </row>
    <row r="16" spans="2:19" s="2" customFormat="1" ht="13.5" customHeight="1">
      <c r="B16" s="52">
        <v>2016</v>
      </c>
      <c r="C16" s="54">
        <v>0</v>
      </c>
      <c r="D16" s="45">
        <v>3</v>
      </c>
      <c r="E16" s="45">
        <v>0</v>
      </c>
      <c r="F16" s="45">
        <v>1</v>
      </c>
      <c r="G16" s="46">
        <f t="shared" si="1"/>
        <v>4</v>
      </c>
      <c r="H16" s="8"/>
      <c r="I16" s="8"/>
      <c r="J16" s="529" t="s">
        <v>99</v>
      </c>
      <c r="K16" s="529"/>
      <c r="M16" s="400"/>
      <c r="N16" s="283"/>
      <c r="O16" s="281"/>
      <c r="S16" s="262"/>
    </row>
    <row r="17" spans="2:19" s="2" customFormat="1" ht="13.5" customHeight="1">
      <c r="B17" s="52">
        <v>2015</v>
      </c>
      <c r="C17" s="54">
        <v>0</v>
      </c>
      <c r="D17" s="45">
        <v>2</v>
      </c>
      <c r="E17" s="45">
        <v>0</v>
      </c>
      <c r="F17" s="45">
        <v>0</v>
      </c>
      <c r="G17" s="46">
        <f t="shared" si="1"/>
        <v>2</v>
      </c>
      <c r="H17" s="8"/>
      <c r="I17" s="8"/>
      <c r="J17" s="436" t="s">
        <v>100</v>
      </c>
      <c r="K17" s="437">
        <v>1847.3</v>
      </c>
      <c r="M17" s="385"/>
      <c r="N17" s="512"/>
      <c r="O17" s="512"/>
      <c r="S17" s="2" t="s">
        <v>235</v>
      </c>
    </row>
    <row r="18" spans="2:15" s="2" customFormat="1" ht="13.5" customHeight="1">
      <c r="B18" s="52">
        <v>2014</v>
      </c>
      <c r="C18" s="55">
        <v>0</v>
      </c>
      <c r="D18" s="47">
        <v>8</v>
      </c>
      <c r="E18" s="47">
        <v>0</v>
      </c>
      <c r="F18" s="47">
        <v>1</v>
      </c>
      <c r="G18" s="46">
        <f t="shared" si="1"/>
        <v>9</v>
      </c>
      <c r="H18" s="8"/>
      <c r="I18" s="8"/>
      <c r="J18" s="438" t="s">
        <v>101</v>
      </c>
      <c r="K18" s="437">
        <v>1999</v>
      </c>
      <c r="L18" s="425" t="s">
        <v>250</v>
      </c>
      <c r="M18" s="385"/>
      <c r="N18" s="512"/>
      <c r="O18" s="512"/>
    </row>
    <row r="19" spans="2:19" s="2" customFormat="1" ht="13.5" customHeight="1">
      <c r="B19" s="52">
        <v>2013</v>
      </c>
      <c r="C19" s="55">
        <v>0</v>
      </c>
      <c r="D19" s="47">
        <v>23</v>
      </c>
      <c r="E19" s="47">
        <v>2</v>
      </c>
      <c r="F19" s="47">
        <v>8</v>
      </c>
      <c r="G19" s="46">
        <f t="shared" si="1"/>
        <v>33</v>
      </c>
      <c r="H19" s="8"/>
      <c r="I19" s="8"/>
      <c r="J19" s="438" t="s">
        <v>102</v>
      </c>
      <c r="K19" s="437">
        <v>520</v>
      </c>
      <c r="L19" s="62"/>
      <c r="M19" s="385"/>
      <c r="N19" s="512"/>
      <c r="O19" s="512"/>
      <c r="P19"/>
      <c r="Q19"/>
      <c r="R19"/>
      <c r="S19"/>
    </row>
    <row r="20" spans="2:19" s="2" customFormat="1" ht="13.5" customHeight="1">
      <c r="B20" s="370">
        <v>2012</v>
      </c>
      <c r="C20" s="371">
        <v>0</v>
      </c>
      <c r="D20" s="372">
        <v>10</v>
      </c>
      <c r="E20" s="372">
        <v>15</v>
      </c>
      <c r="F20" s="372">
        <v>4</v>
      </c>
      <c r="G20" s="373">
        <f t="shared" si="1"/>
        <v>29</v>
      </c>
      <c r="H20" s="8"/>
      <c r="I20" s="8"/>
      <c r="J20" s="438" t="s">
        <v>103</v>
      </c>
      <c r="K20" s="437">
        <v>549</v>
      </c>
      <c r="L20" s="62"/>
      <c r="M20" s="385"/>
      <c r="N20" s="512"/>
      <c r="O20" s="512"/>
      <c r="P20"/>
      <c r="Q20" s="275"/>
      <c r="R20" s="275"/>
      <c r="S20"/>
    </row>
    <row r="21" spans="2:19" s="2" customFormat="1" ht="13.5" customHeight="1">
      <c r="B21" s="370">
        <v>2011</v>
      </c>
      <c r="C21" s="371">
        <v>0</v>
      </c>
      <c r="D21" s="372">
        <v>0</v>
      </c>
      <c r="E21" s="372">
        <v>0</v>
      </c>
      <c r="F21" s="372">
        <v>0</v>
      </c>
      <c r="G21" s="373">
        <f t="shared" si="1"/>
        <v>0</v>
      </c>
      <c r="H21" s="8"/>
      <c r="I21" s="8"/>
      <c r="J21" s="8"/>
      <c r="K21" s="313"/>
      <c r="L21" s="62"/>
      <c r="M21" s="385"/>
      <c r="N21" s="512"/>
      <c r="O21" s="512"/>
      <c r="P21"/>
      <c r="Q21" s="275"/>
      <c r="R21" s="275"/>
      <c r="S21"/>
    </row>
    <row r="22" spans="2:19" s="2" customFormat="1" ht="13.5" customHeight="1">
      <c r="B22" s="370">
        <v>2010</v>
      </c>
      <c r="C22" s="371">
        <v>0</v>
      </c>
      <c r="D22" s="372">
        <v>0</v>
      </c>
      <c r="E22" s="372">
        <v>0</v>
      </c>
      <c r="F22" s="372">
        <v>0</v>
      </c>
      <c r="G22" s="373">
        <f t="shared" si="1"/>
        <v>0</v>
      </c>
      <c r="H22" s="8"/>
      <c r="I22" s="8"/>
      <c r="L22" s="62"/>
      <c r="M22" s="385"/>
      <c r="N22" s="512"/>
      <c r="O22" s="512"/>
      <c r="P22"/>
      <c r="Q22" s="275"/>
      <c r="R22" s="275"/>
      <c r="S22" s="264"/>
    </row>
    <row r="23" spans="2:19" s="2" customFormat="1" ht="15" customHeight="1">
      <c r="B23" s="370"/>
      <c r="C23" s="371"/>
      <c r="D23" s="372"/>
      <c r="E23" s="372"/>
      <c r="F23" s="372"/>
      <c r="G23" s="373"/>
      <c r="H23" s="8"/>
      <c r="I23" s="8"/>
      <c r="J23" s="510" t="s">
        <v>96</v>
      </c>
      <c r="K23" s="510"/>
      <c r="L23" s="62"/>
      <c r="M23" s="385"/>
      <c r="N23" s="512"/>
      <c r="O23" s="512"/>
      <c r="P23"/>
      <c r="Q23" s="275"/>
      <c r="R23" s="275"/>
      <c r="S23" s="264"/>
    </row>
    <row r="24" spans="2:19" s="2" customFormat="1" ht="9.75" customHeight="1">
      <c r="B24" s="57" t="s">
        <v>22</v>
      </c>
      <c r="C24" s="56">
        <f>SUM(C14:C22)</f>
        <v>0</v>
      </c>
      <c r="D24" s="48">
        <f>SUM(D12:D23)</f>
        <v>130</v>
      </c>
      <c r="E24" s="48">
        <f>SUM(E12:E23)</f>
        <v>39</v>
      </c>
      <c r="F24" s="48">
        <f>SUM(F10:F22)</f>
        <v>14</v>
      </c>
      <c r="G24" s="49">
        <f>SUM(C24:F24)</f>
        <v>183</v>
      </c>
      <c r="H24" s="8"/>
      <c r="I24" s="8"/>
      <c r="J24" s="450" t="s">
        <v>97</v>
      </c>
      <c r="K24" s="451">
        <v>191</v>
      </c>
      <c r="L24" s="62"/>
      <c r="M24" s="385"/>
      <c r="N24" s="512"/>
      <c r="O24" s="512"/>
      <c r="P24" s="265"/>
      <c r="Q24" s="264"/>
      <c r="R24" s="264"/>
      <c r="S24" s="264"/>
    </row>
    <row r="25" spans="8:19" s="2" customFormat="1" ht="10.5" customHeight="1">
      <c r="H25" s="8"/>
      <c r="I25" s="8"/>
      <c r="J25" s="452" t="s">
        <v>114</v>
      </c>
      <c r="K25" s="453">
        <f>10.57+86.5</f>
        <v>97.07</v>
      </c>
      <c r="L25" s="57"/>
      <c r="M25" s="385"/>
      <c r="N25" s="512"/>
      <c r="O25" s="512"/>
      <c r="P25" s="265"/>
      <c r="Q25" s="264"/>
      <c r="R25" s="264"/>
      <c r="S25" s="264"/>
    </row>
    <row r="26" spans="2:22" s="2" customFormat="1" ht="13.5" customHeight="1">
      <c r="B26" s="530" t="s">
        <v>233</v>
      </c>
      <c r="C26" s="530"/>
      <c r="D26" s="329"/>
      <c r="E26" s="329"/>
      <c r="F26" s="329"/>
      <c r="G26" s="329"/>
      <c r="H26" s="303"/>
      <c r="I26" s="58"/>
      <c r="J26" s="452" t="s">
        <v>115</v>
      </c>
      <c r="K26" s="453">
        <v>1653.84</v>
      </c>
      <c r="L26" s="57"/>
      <c r="M26" s="385"/>
      <c r="N26" s="281"/>
      <c r="O26" s="281"/>
      <c r="P26" s="263"/>
      <c r="Q26" s="264"/>
      <c r="R26" s="264"/>
      <c r="S26" s="264"/>
      <c r="T26" s="266"/>
      <c r="U26" s="266"/>
      <c r="V26" s="267"/>
    </row>
    <row r="27" spans="2:19" s="2" customFormat="1" ht="15" customHeight="1">
      <c r="B27" s="76" t="s">
        <v>60</v>
      </c>
      <c r="C27" s="77">
        <v>0</v>
      </c>
      <c r="D27" s="78">
        <v>107</v>
      </c>
      <c r="E27" s="78">
        <v>23</v>
      </c>
      <c r="F27" s="78">
        <v>14</v>
      </c>
      <c r="G27" s="79">
        <f>SUM(D27:F27)</f>
        <v>144</v>
      </c>
      <c r="H27" s="8"/>
      <c r="I27" s="8"/>
      <c r="J27" s="454" t="s">
        <v>98</v>
      </c>
      <c r="K27" s="455">
        <f>K26+K25</f>
        <v>1750.9099999999999</v>
      </c>
      <c r="L27" s="57"/>
      <c r="M27" s="385"/>
      <c r="N27" s="281"/>
      <c r="O27" s="281"/>
      <c r="P27" s="265"/>
      <c r="Q27" s="264"/>
      <c r="R27" s="264"/>
      <c r="S27" s="264"/>
    </row>
    <row r="28" spans="2:19" s="2" customFormat="1" ht="12.75">
      <c r="B28" s="8"/>
      <c r="C28" s="50"/>
      <c r="D28" s="50"/>
      <c r="E28" s="50"/>
      <c r="F28" s="50"/>
      <c r="G28" s="50"/>
      <c r="H28" s="1"/>
      <c r="I28" s="1"/>
      <c r="J28" s="80"/>
      <c r="K28" s="245" t="s">
        <v>116</v>
      </c>
      <c r="M28" s="281"/>
      <c r="N28" s="281"/>
      <c r="O28" s="281"/>
      <c r="P28" s="265"/>
      <c r="Q28" s="264"/>
      <c r="R28" s="264"/>
      <c r="S28" s="264"/>
    </row>
    <row r="29" spans="2:19" ht="12.75">
      <c r="B29" s="439" t="s">
        <v>47</v>
      </c>
      <c r="C29" s="440">
        <f>IF(C24=0,0,((C12*(2019-$B$12))+(C13*(2019-$B$13))+(C14*(2019-$B14))+(C15*(2019-$B15))+(C16*(2019-$B16))+(C17*(2019-$B17))+(C18*(2019-$B18))+(C19*(2019-$B19))+(C20*(2019-$B20))+(C21*(2019-$B21))+(C22*(2019-$B22)))/C24)</f>
        <v>0</v>
      </c>
      <c r="D29" s="440">
        <v>5.31</v>
      </c>
      <c r="E29" s="440">
        <v>6.18</v>
      </c>
      <c r="F29" s="440">
        <v>9</v>
      </c>
      <c r="G29" s="440">
        <f>IF(G24=0,0,((G12*(2021-$B$12))+(G13*(2021-$B$13))+(G14*(2021-$B14))+(G15*(2021-$B15))+(G16*(2021-$B16))+(G17*(2021-$B17))+(G18*(2021-$B18))+(G19*(2021-$B19))+(G20*(2021-$B20))+(G21*(2021-$B21)))/(G24-G22))</f>
        <v>4.775956284153006</v>
      </c>
      <c r="J29" s="398" t="s">
        <v>104</v>
      </c>
      <c r="K29" s="399" t="s">
        <v>116</v>
      </c>
      <c r="M29" s="281"/>
      <c r="N29" s="281"/>
      <c r="O29" s="295"/>
      <c r="P29" s="265"/>
      <c r="Q29" s="264"/>
      <c r="R29" s="264"/>
      <c r="S29" s="264"/>
    </row>
    <row r="30" spans="2:19" ht="12.75">
      <c r="B30" s="76" t="s">
        <v>146</v>
      </c>
      <c r="C30" s="310"/>
      <c r="D30" s="311">
        <f>((D24-D27)/D24)</f>
        <v>0.17692307692307693</v>
      </c>
      <c r="E30" s="311">
        <f>((E24-E27)/E24)</f>
        <v>0.41025641025641024</v>
      </c>
      <c r="F30" s="311">
        <f>((F24-F27)/F24)</f>
        <v>0</v>
      </c>
      <c r="G30" s="311">
        <f>((G24-G27)/G24)</f>
        <v>0.21311475409836064</v>
      </c>
      <c r="J30" s="101" t="s">
        <v>105</v>
      </c>
      <c r="K30" s="300">
        <v>0</v>
      </c>
      <c r="M30" s="296"/>
      <c r="N30" s="281"/>
      <c r="O30" s="295"/>
      <c r="P30" s="265"/>
      <c r="Q30" s="264"/>
      <c r="R30" s="264"/>
      <c r="S30" s="264"/>
    </row>
    <row r="31" spans="10:19" ht="12.75">
      <c r="J31" s="101" t="s">
        <v>111</v>
      </c>
      <c r="K31" s="300">
        <v>0</v>
      </c>
      <c r="M31" s="280"/>
      <c r="N31" s="295"/>
      <c r="O31" s="295"/>
      <c r="P31" s="263"/>
      <c r="Q31" s="264"/>
      <c r="R31" s="264"/>
      <c r="S31" s="264"/>
    </row>
    <row r="32" spans="6:19" ht="12.75">
      <c r="F32" s="304"/>
      <c r="J32" s="101" t="s">
        <v>112</v>
      </c>
      <c r="K32" s="300">
        <v>0</v>
      </c>
      <c r="M32" s="295"/>
      <c r="N32" s="295"/>
      <c r="O32" s="295"/>
      <c r="P32" s="265"/>
      <c r="Q32" s="264"/>
      <c r="R32" s="264"/>
      <c r="S32" s="264"/>
    </row>
    <row r="33" spans="2:19" ht="12.75">
      <c r="B33" s="367" t="s">
        <v>234</v>
      </c>
      <c r="C33" s="367"/>
      <c r="D33" s="367"/>
      <c r="J33" s="102" t="s">
        <v>113</v>
      </c>
      <c r="K33" s="300">
        <v>0</v>
      </c>
      <c r="M33" s="295"/>
      <c r="N33" s="295"/>
      <c r="O33" s="295"/>
      <c r="P33" s="265"/>
      <c r="Q33" s="264"/>
      <c r="R33" s="264"/>
      <c r="S33" s="264"/>
    </row>
    <row r="34" spans="2:19" ht="15">
      <c r="B34" s="307" t="s">
        <v>142</v>
      </c>
      <c r="C34" s="307" t="s">
        <v>123</v>
      </c>
      <c r="D34" s="307" t="s">
        <v>124</v>
      </c>
      <c r="E34" s="307" t="s">
        <v>21</v>
      </c>
      <c r="J34" s="102" t="s">
        <v>141</v>
      </c>
      <c r="K34" s="300">
        <v>0</v>
      </c>
      <c r="M34" s="297"/>
      <c r="N34" s="295"/>
      <c r="O34" s="295"/>
      <c r="P34" s="263"/>
      <c r="Q34" s="264"/>
      <c r="R34" s="264"/>
      <c r="S34" s="264"/>
    </row>
    <row r="35" spans="2:15" ht="12.75">
      <c r="B35" s="308" t="s">
        <v>26</v>
      </c>
      <c r="C35" s="309">
        <v>20</v>
      </c>
      <c r="D35" s="309">
        <v>0</v>
      </c>
      <c r="E35" s="309">
        <f>D35+C35</f>
        <v>20</v>
      </c>
      <c r="J35" s="103" t="s">
        <v>98</v>
      </c>
      <c r="K35" s="301">
        <v>0</v>
      </c>
      <c r="M35" s="312"/>
      <c r="N35" s="295"/>
      <c r="O35" s="295"/>
    </row>
    <row r="36" spans="2:15" ht="12.75">
      <c r="B36" s="308" t="s">
        <v>125</v>
      </c>
      <c r="C36" s="309">
        <v>156</v>
      </c>
      <c r="D36" s="309">
        <v>0</v>
      </c>
      <c r="E36" s="309">
        <f>D36+C36</f>
        <v>156</v>
      </c>
      <c r="J36" s="280"/>
      <c r="K36" s="298"/>
      <c r="M36" s="301"/>
      <c r="N36" s="295"/>
      <c r="O36" s="295"/>
    </row>
    <row r="37" spans="2:15" ht="12.75">
      <c r="B37" s="308" t="s">
        <v>126</v>
      </c>
      <c r="C37" s="309">
        <v>41</v>
      </c>
      <c r="D37" s="309">
        <v>0</v>
      </c>
      <c r="E37" s="309">
        <f>D37+C37</f>
        <v>41</v>
      </c>
      <c r="M37" s="295"/>
      <c r="N37" s="295"/>
      <c r="O37" s="295"/>
    </row>
    <row r="38" spans="13:21" ht="12.75">
      <c r="M38" s="295"/>
      <c r="N38" s="295"/>
      <c r="O38" s="295"/>
      <c r="Q38" s="268"/>
      <c r="R38" s="268"/>
      <c r="S38" s="268"/>
      <c r="T38" s="269"/>
      <c r="U38" s="269"/>
    </row>
    <row r="39" spans="2:5" ht="15">
      <c r="B39" s="307" t="s">
        <v>142</v>
      </c>
      <c r="C39" s="307" t="s">
        <v>123</v>
      </c>
      <c r="D39" s="307" t="s">
        <v>124</v>
      </c>
      <c r="E39" s="307" t="s">
        <v>21</v>
      </c>
    </row>
    <row r="40" spans="2:21" ht="12.75">
      <c r="B40" s="308" t="s">
        <v>26</v>
      </c>
      <c r="C40" s="275">
        <f>C35/E35</f>
        <v>1</v>
      </c>
      <c r="D40" s="275">
        <f>D35/E35</f>
        <v>0</v>
      </c>
      <c r="E40" s="309">
        <f>D40+C40</f>
        <v>1</v>
      </c>
      <c r="J40" s="528"/>
      <c r="Q40" s="268"/>
      <c r="R40" s="268"/>
      <c r="S40" s="268"/>
      <c r="T40" s="269"/>
      <c r="U40" s="269"/>
    </row>
    <row r="41" spans="2:10" ht="12.75" customHeight="1">
      <c r="B41" s="308" t="s">
        <v>125</v>
      </c>
      <c r="C41" s="275">
        <f>C36/E36</f>
        <v>1</v>
      </c>
      <c r="D41" s="275">
        <f>D36/E36</f>
        <v>0</v>
      </c>
      <c r="E41" s="309">
        <f>D41+C41</f>
        <v>1</v>
      </c>
      <c r="J41" s="528"/>
    </row>
    <row r="42" spans="2:10" ht="12.75" customHeight="1">
      <c r="B42" s="308" t="s">
        <v>126</v>
      </c>
      <c r="C42" s="275">
        <f>C37/E37</f>
        <v>1</v>
      </c>
      <c r="D42" s="275">
        <f>D37/E37</f>
        <v>0</v>
      </c>
      <c r="E42" s="309">
        <f>D42+C42</f>
        <v>1</v>
      </c>
      <c r="J42" s="528"/>
    </row>
    <row r="43" spans="9:11" ht="12.75" customHeight="1">
      <c r="I43" s="58"/>
      <c r="J43" s="528"/>
      <c r="K43" s="58"/>
    </row>
    <row r="44" spans="10:11" ht="12.75" customHeight="1">
      <c r="J44" s="528"/>
      <c r="K44" s="269"/>
    </row>
    <row r="45" ht="12.75" customHeight="1">
      <c r="J45" s="528"/>
    </row>
    <row r="48" spans="8:11" ht="11.25">
      <c r="H48" s="302"/>
      <c r="K48" s="260"/>
    </row>
    <row r="49" spans="3:8" ht="11.25">
      <c r="C49" s="509"/>
      <c r="D49" s="509"/>
      <c r="E49" s="43"/>
      <c r="F49" s="43"/>
      <c r="H49" s="302"/>
    </row>
    <row r="50" spans="3:8" ht="11.25">
      <c r="C50" s="509"/>
      <c r="D50" s="509"/>
      <c r="E50" s="43"/>
      <c r="F50" s="43"/>
      <c r="H50" s="302"/>
    </row>
    <row r="54" spans="2:7" ht="11.25">
      <c r="B54" s="8" t="s">
        <v>145</v>
      </c>
      <c r="C54" s="8"/>
      <c r="D54" s="8"/>
      <c r="E54" s="8"/>
      <c r="F54" s="8"/>
      <c r="G54" s="8"/>
    </row>
    <row r="55" spans="2:7" ht="11.25">
      <c r="B55" s="51" t="s">
        <v>45</v>
      </c>
      <c r="C55" s="53" t="s">
        <v>25</v>
      </c>
      <c r="D55" s="40" t="s">
        <v>44</v>
      </c>
      <c r="E55" s="40" t="s">
        <v>32</v>
      </c>
      <c r="F55" s="40" t="s">
        <v>26</v>
      </c>
      <c r="G55" s="41" t="s">
        <v>46</v>
      </c>
    </row>
    <row r="56" spans="2:7" ht="11.25">
      <c r="B56" s="52">
        <v>2019</v>
      </c>
      <c r="C56" s="54">
        <v>0</v>
      </c>
      <c r="D56" s="45">
        <v>7</v>
      </c>
      <c r="E56" s="45">
        <v>10</v>
      </c>
      <c r="F56" s="45">
        <v>0</v>
      </c>
      <c r="G56" s="46">
        <f>SUM(C56:F56)</f>
        <v>17</v>
      </c>
    </row>
    <row r="57" spans="2:7" ht="11.25">
      <c r="B57" s="52">
        <v>2017</v>
      </c>
      <c r="C57" s="54">
        <v>0</v>
      </c>
      <c r="D57" s="45">
        <v>25</v>
      </c>
      <c r="E57" s="45">
        <v>3</v>
      </c>
      <c r="F57" s="45">
        <v>0</v>
      </c>
      <c r="G57" s="46">
        <f aca="true" t="shared" si="2" ref="G57:G67">SUM(C57:F57)</f>
        <v>28</v>
      </c>
    </row>
    <row r="58" spans="2:7" ht="11.25">
      <c r="B58" s="52">
        <v>2016</v>
      </c>
      <c r="C58" s="54">
        <v>0</v>
      </c>
      <c r="D58" s="45">
        <v>3</v>
      </c>
      <c r="E58" s="45">
        <v>0</v>
      </c>
      <c r="F58" s="45">
        <v>1</v>
      </c>
      <c r="G58" s="46">
        <f t="shared" si="2"/>
        <v>4</v>
      </c>
    </row>
    <row r="59" spans="2:7" ht="11.25">
      <c r="B59" s="52">
        <v>2015</v>
      </c>
      <c r="C59" s="54">
        <v>0</v>
      </c>
      <c r="D59" s="45">
        <v>2</v>
      </c>
      <c r="E59" s="45">
        <v>0</v>
      </c>
      <c r="F59" s="45">
        <v>0</v>
      </c>
      <c r="G59" s="46">
        <f t="shared" si="2"/>
        <v>2</v>
      </c>
    </row>
    <row r="60" spans="2:7" ht="11.25">
      <c r="B60" s="52">
        <v>2014</v>
      </c>
      <c r="C60" s="54">
        <v>0</v>
      </c>
      <c r="D60" s="45">
        <v>8</v>
      </c>
      <c r="E60" s="45">
        <v>0</v>
      </c>
      <c r="F60" s="45">
        <v>1</v>
      </c>
      <c r="G60" s="46">
        <f t="shared" si="2"/>
        <v>9</v>
      </c>
    </row>
    <row r="61" spans="2:7" ht="11.25">
      <c r="B61" s="52">
        <v>2013</v>
      </c>
      <c r="C61" s="55">
        <v>0</v>
      </c>
      <c r="D61" s="47">
        <v>23</v>
      </c>
      <c r="E61" s="47">
        <v>2</v>
      </c>
      <c r="F61" s="47">
        <v>8</v>
      </c>
      <c r="G61" s="46">
        <f t="shared" si="2"/>
        <v>33</v>
      </c>
    </row>
    <row r="62" spans="2:7" ht="11.25">
      <c r="B62" s="52">
        <v>2012</v>
      </c>
      <c r="C62" s="55">
        <v>0</v>
      </c>
      <c r="D62" s="47">
        <v>10</v>
      </c>
      <c r="E62" s="47">
        <v>15</v>
      </c>
      <c r="F62" s="47">
        <v>4</v>
      </c>
      <c r="G62" s="46">
        <f t="shared" si="2"/>
        <v>29</v>
      </c>
    </row>
    <row r="63" spans="2:7" ht="11.25">
      <c r="B63" s="52">
        <v>2011</v>
      </c>
      <c r="C63" s="55">
        <v>0</v>
      </c>
      <c r="D63" s="47">
        <v>0</v>
      </c>
      <c r="E63" s="47">
        <v>0</v>
      </c>
      <c r="F63" s="47">
        <v>0</v>
      </c>
      <c r="G63" s="46">
        <f t="shared" si="2"/>
        <v>0</v>
      </c>
    </row>
    <row r="64" spans="2:7" ht="11.25">
      <c r="B64" s="52">
        <v>2010</v>
      </c>
      <c r="C64" s="55">
        <v>0</v>
      </c>
      <c r="D64" s="47">
        <v>26</v>
      </c>
      <c r="E64" s="47">
        <v>2</v>
      </c>
      <c r="F64" s="47">
        <v>6</v>
      </c>
      <c r="G64" s="46">
        <f t="shared" si="2"/>
        <v>34</v>
      </c>
    </row>
    <row r="65" spans="2:7" ht="11.25">
      <c r="B65" s="52">
        <v>2009</v>
      </c>
      <c r="C65" s="55">
        <v>0</v>
      </c>
      <c r="D65" s="47">
        <v>11</v>
      </c>
      <c r="E65" s="47">
        <v>4</v>
      </c>
      <c r="F65" s="47">
        <v>0</v>
      </c>
      <c r="G65" s="46">
        <f t="shared" si="2"/>
        <v>15</v>
      </c>
    </row>
    <row r="66" spans="2:7" ht="11.25">
      <c r="B66" s="52">
        <v>2008</v>
      </c>
      <c r="C66" s="55">
        <v>0</v>
      </c>
      <c r="D66" s="47">
        <v>41</v>
      </c>
      <c r="E66" s="47">
        <v>5</v>
      </c>
      <c r="F66" s="47">
        <v>0</v>
      </c>
      <c r="G66" s="46">
        <f t="shared" si="2"/>
        <v>46</v>
      </c>
    </row>
    <row r="67" spans="2:7" ht="11.25">
      <c r="B67" s="57" t="s">
        <v>22</v>
      </c>
      <c r="C67" s="56">
        <f>SUM(C58:C66)</f>
        <v>0</v>
      </c>
      <c r="D67" s="48">
        <f>SUM(D56:D66)</f>
        <v>156</v>
      </c>
      <c r="E67" s="48">
        <f>SUM(E56:E66)</f>
        <v>41</v>
      </c>
      <c r="F67" s="48">
        <f>SUM(F56:F66)</f>
        <v>20</v>
      </c>
      <c r="G67" s="49">
        <f t="shared" si="2"/>
        <v>217</v>
      </c>
    </row>
    <row r="68" spans="2:7" ht="11.25">
      <c r="B68" s="57"/>
      <c r="C68" s="50"/>
      <c r="D68" s="50"/>
      <c r="E68" s="50"/>
      <c r="F68" s="50"/>
      <c r="G68" s="50"/>
    </row>
    <row r="69" spans="2:7" ht="11.25">
      <c r="B69" s="76" t="s">
        <v>60</v>
      </c>
      <c r="C69" s="77">
        <v>0</v>
      </c>
      <c r="D69" s="78">
        <v>143</v>
      </c>
      <c r="E69" s="78">
        <v>35</v>
      </c>
      <c r="F69" s="78">
        <v>17</v>
      </c>
      <c r="G69" s="79">
        <f>SUM(C69:F69)</f>
        <v>195</v>
      </c>
    </row>
    <row r="70" spans="2:7" ht="11.25">
      <c r="B70" s="8"/>
      <c r="C70" s="50"/>
      <c r="D70" s="50"/>
      <c r="E70" s="50"/>
      <c r="F70" s="50"/>
      <c r="G70" s="50"/>
    </row>
    <row r="71" spans="2:7" ht="12">
      <c r="B71" s="74" t="s">
        <v>47</v>
      </c>
      <c r="C71" s="75">
        <f>IF(C67=0,0,((C56*(2019-$B$12))+(C57*(2019-$B$13))+(C58*(2019-$B58))+(C59*(2019-$B59))+(C60*(2019-$B60))+(C61*(2019-$B61))+(C62*(2019-$B62))+(C63*(2019-$B63))+(C64*(2019-$B64))+(C65*(2019-$B65))+(C66*(2019-$B66)))/C67)</f>
        <v>0</v>
      </c>
      <c r="D71" s="75">
        <f>IF(D67=0,0,((D56*(2019-$B$12))+(D57*(2019-$B$13))+(D58*(2019-$B58))+(D59*(2019-$B59))+(D60*(2019-$B60))+(D61*(2019-$B61))+(D62*(2019-$B62))+(D63*(2019-$B63))+(D64*(2019-$B64))+(D65*(2019-$B65))+(D66*(2019-$B66)))/D67)</f>
        <v>6.75</v>
      </c>
      <c r="E71" s="75">
        <f>IF(E67=0,0,((E56*(2019-$B$12))+(E57*(2019-$B$13))+(E58*(2019-$B58))+(E59*(2019-$B59))+(E60*(2019-$B60))+(E61*(2019-$B61))+(E62*(2019-$B62))+(E63*(2019-$B63))+(E64*(2019-$B64))+(E65*(2019-$B65))+(E66*(2019-$B66)))/E67)</f>
        <v>5.365853658536586</v>
      </c>
      <c r="F71" s="75">
        <f>IF(F67=0,0,((F56*(2019-$B$12))+(F57*(2019-$B$13))+(F58*(2019-$B58))+(F59*(2019-$B59))+(F60*(2019-$B60))+(F61*(2019-$B61))+(F62*(2019-$B62))+(F63*(2019-$B63))+(F64*(2019-$B64))+(F65*(2019-$B65))+(F66*(2019-$B66)))/F67)</f>
        <v>6.9</v>
      </c>
      <c r="G71" s="75">
        <f>IF(G67=0,0,((G56*(2019-$B$12))+(G57*(2019-$B$13))+(G58*(2019-$B58))+(G59*(2019-$B59))+(G60*(2019-$B60))+(G61*(2019-$B61))+(G62*(2019-$B62))+(G63*(2019-$B63))+(G64*(2019-$B64))+(G65*(2019-$B65))+(G66*(2019-$B66)))/G67)</f>
        <v>6.502304147465438</v>
      </c>
    </row>
  </sheetData>
  <sheetProtection/>
  <mergeCells count="24">
    <mergeCell ref="M11:N11"/>
    <mergeCell ref="M6:N6"/>
    <mergeCell ref="B6:C6"/>
    <mergeCell ref="J40:J45"/>
    <mergeCell ref="J9:K9"/>
    <mergeCell ref="J23:K23"/>
    <mergeCell ref="J16:K16"/>
    <mergeCell ref="B26:C26"/>
    <mergeCell ref="P4:Q4"/>
    <mergeCell ref="P10:S11"/>
    <mergeCell ref="P13:Q13"/>
    <mergeCell ref="Q5:S9"/>
    <mergeCell ref="P14:Q14"/>
    <mergeCell ref="P15:Q15"/>
    <mergeCell ref="C49:D49"/>
    <mergeCell ref="C50:D50"/>
    <mergeCell ref="J3:K3"/>
    <mergeCell ref="M3:N3"/>
    <mergeCell ref="N17:O25"/>
    <mergeCell ref="B3:C3"/>
    <mergeCell ref="M7:N7"/>
    <mergeCell ref="J13:K13"/>
    <mergeCell ref="B4:C4"/>
    <mergeCell ref="B5:C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8"/>
  <sheetViews>
    <sheetView showGridLines="0" tabSelected="1" zoomScale="118" zoomScaleNormal="118" zoomScalePageLayoutView="0" workbookViewId="0" topLeftCell="B10">
      <selection activeCell="D22" sqref="D22"/>
    </sheetView>
  </sheetViews>
  <sheetFormatPr defaultColWidth="8.875" defaultRowHeight="12.75"/>
  <cols>
    <col min="1" max="1" width="5.625" style="5" customWidth="1"/>
    <col min="2" max="2" width="25.625" style="5" customWidth="1"/>
    <col min="3" max="3" width="8.625" style="5" customWidth="1"/>
    <col min="4" max="4" width="9.50390625" style="5" bestFit="1" customWidth="1"/>
    <col min="5" max="6" width="8.625" style="5" customWidth="1"/>
    <col min="7" max="7" width="9.50390625" style="5" bestFit="1" customWidth="1"/>
    <col min="8" max="9" width="8.625" style="5" customWidth="1"/>
    <col min="10" max="10" width="9.50390625" style="5" bestFit="1" customWidth="1"/>
    <col min="11" max="11" width="9.375" style="5" customWidth="1"/>
    <col min="12" max="12" width="9.625" style="5" customWidth="1"/>
    <col min="13" max="13" width="7.625" style="5" customWidth="1"/>
    <col min="14" max="14" width="12.875" style="5" customWidth="1"/>
    <col min="15" max="15" width="27.75390625" style="5" customWidth="1"/>
    <col min="16" max="16" width="14.00390625" style="202" customWidth="1"/>
    <col min="17" max="17" width="8.125" style="5" customWidth="1"/>
    <col min="18" max="18" width="19.75390625" style="5" customWidth="1"/>
    <col min="19" max="19" width="17.00390625" style="5" customWidth="1"/>
    <col min="20" max="20" width="18.75390625" style="5" customWidth="1"/>
    <col min="21" max="16384" width="8.875" style="5" customWidth="1"/>
  </cols>
  <sheetData>
    <row r="1" spans="2:13" ht="11.25">
      <c r="B1" s="4"/>
      <c r="E1" s="6"/>
      <c r="F1" s="6"/>
      <c r="G1" s="6"/>
      <c r="H1" s="6"/>
      <c r="K1" s="6"/>
      <c r="M1" s="6"/>
    </row>
    <row r="2" spans="2:16" ht="15" customHeight="1">
      <c r="B2" s="566" t="s">
        <v>254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81"/>
      <c r="O2" s="81"/>
      <c r="P2" s="82"/>
    </row>
    <row r="3" spans="2:16" ht="4.5" customHeight="1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1"/>
      <c r="O3" s="81"/>
      <c r="P3" s="82"/>
    </row>
    <row r="4" spans="2:16" ht="13.5" customHeight="1">
      <c r="B4" s="134" t="s">
        <v>24</v>
      </c>
      <c r="C4" s="578" t="s">
        <v>32</v>
      </c>
      <c r="D4" s="579"/>
      <c r="E4" s="579"/>
      <c r="F4" s="579" t="s">
        <v>44</v>
      </c>
      <c r="G4" s="579" t="s">
        <v>44</v>
      </c>
      <c r="H4" s="579"/>
      <c r="I4" s="579" t="s">
        <v>26</v>
      </c>
      <c r="J4" s="579"/>
      <c r="K4" s="568"/>
      <c r="L4" s="567" t="s">
        <v>27</v>
      </c>
      <c r="M4" s="568"/>
      <c r="N4" s="81"/>
      <c r="O4" s="81"/>
      <c r="P4" s="82"/>
    </row>
    <row r="5" spans="2:16" ht="13.5" customHeight="1">
      <c r="B5" s="93" t="s">
        <v>69</v>
      </c>
      <c r="C5" s="581">
        <f>'FROTA E CUSTOS'!E24</f>
        <v>39</v>
      </c>
      <c r="D5" s="574"/>
      <c r="E5" s="574"/>
      <c r="F5" s="574">
        <f>'FROTA E CUSTOS'!D24</f>
        <v>130</v>
      </c>
      <c r="G5" s="574"/>
      <c r="H5" s="574"/>
      <c r="I5" s="574">
        <v>14</v>
      </c>
      <c r="J5" s="574"/>
      <c r="K5" s="575"/>
      <c r="L5" s="576">
        <f>SUM(C5:K5)</f>
        <v>183</v>
      </c>
      <c r="M5" s="575"/>
      <c r="N5" s="81"/>
      <c r="O5" s="81"/>
      <c r="P5" s="82"/>
    </row>
    <row r="6" spans="2:16" ht="13.5" customHeight="1">
      <c r="B6" s="478" t="s">
        <v>270</v>
      </c>
      <c r="C6" s="585">
        <v>41</v>
      </c>
      <c r="D6" s="586"/>
      <c r="E6" s="587"/>
      <c r="F6" s="479"/>
      <c r="G6" s="479"/>
      <c r="H6" s="479"/>
      <c r="I6" s="588">
        <v>20</v>
      </c>
      <c r="J6" s="586"/>
      <c r="K6" s="589"/>
      <c r="L6" s="585">
        <v>191</v>
      </c>
      <c r="M6" s="586"/>
      <c r="N6" s="81"/>
      <c r="O6" s="81"/>
      <c r="P6" s="82"/>
    </row>
    <row r="7" spans="2:16" ht="13.5" customHeight="1">
      <c r="B7" s="93" t="s">
        <v>70</v>
      </c>
      <c r="C7" s="581">
        <f>'FROTA E CUSTOS'!E27</f>
        <v>23</v>
      </c>
      <c r="D7" s="574"/>
      <c r="E7" s="574"/>
      <c r="F7" s="574">
        <f>'FROTA E CUSTOS'!D27</f>
        <v>107</v>
      </c>
      <c r="G7" s="574"/>
      <c r="H7" s="574"/>
      <c r="I7" s="574">
        <f>'FROTA E CUSTOS'!F27</f>
        <v>14</v>
      </c>
      <c r="J7" s="574"/>
      <c r="K7" s="575"/>
      <c r="L7" s="576">
        <f>SUM(C7:K7)</f>
        <v>144</v>
      </c>
      <c r="M7" s="575"/>
      <c r="N7" s="81"/>
      <c r="O7" s="81"/>
      <c r="P7" s="82"/>
    </row>
    <row r="8" spans="2:17" ht="13.5" customHeight="1">
      <c r="B8" s="93" t="s">
        <v>71</v>
      </c>
      <c r="C8" s="532">
        <f>'KM, PASSAGEIROS E PESSOAL'!I9</f>
        <v>183180</v>
      </c>
      <c r="D8" s="533"/>
      <c r="E8" s="113">
        <f>C8/L8</f>
        <v>0.18936569350007787</v>
      </c>
      <c r="F8" s="562">
        <f>'KM, PASSAGEIROS E PESSOAL'!J9</f>
        <v>708949.0833333334</v>
      </c>
      <c r="G8" s="533"/>
      <c r="H8" s="113">
        <f>F8/L8</f>
        <v>0.7328891517723615</v>
      </c>
      <c r="I8" s="562">
        <f>'KM, PASSAGEIROS E PESSOAL'!K9</f>
        <v>75205.58333333333</v>
      </c>
      <c r="J8" s="533"/>
      <c r="K8" s="114">
        <f>I8/L8</f>
        <v>0.07774515472756066</v>
      </c>
      <c r="L8" s="569">
        <f>SUM(C8,F8,I8)</f>
        <v>967334.6666666667</v>
      </c>
      <c r="M8" s="570"/>
      <c r="N8" s="81"/>
      <c r="O8" s="272">
        <v>1392824</v>
      </c>
      <c r="P8" s="82"/>
      <c r="Q8" s="5">
        <f>O8-L8</f>
        <v>425489.33333333326</v>
      </c>
    </row>
    <row r="9" spans="2:17" ht="13.5" customHeight="1">
      <c r="B9" s="93" t="s">
        <v>120</v>
      </c>
      <c r="C9" s="532">
        <f>E9*C8</f>
        <v>0</v>
      </c>
      <c r="D9" s="533"/>
      <c r="E9" s="113">
        <f>'FROTA E CUSTOS'!S15</f>
        <v>0</v>
      </c>
      <c r="F9" s="532">
        <f>H9*F8</f>
        <v>0</v>
      </c>
      <c r="G9" s="533"/>
      <c r="H9" s="113">
        <f>'FROTA E CUSTOS'!S14</f>
        <v>0</v>
      </c>
      <c r="I9" s="532">
        <f>K9*I8</f>
        <v>0</v>
      </c>
      <c r="J9" s="533"/>
      <c r="K9" s="114">
        <f>'FROTA E CUSTOS'!S13</f>
        <v>0</v>
      </c>
      <c r="L9" s="539">
        <f>(I9+F9+C9)/L8</f>
        <v>0</v>
      </c>
      <c r="M9" s="540"/>
      <c r="N9" s="81"/>
      <c r="O9" s="81"/>
      <c r="P9" s="82"/>
      <c r="Q9" s="274">
        <f>Q8/L8</f>
        <v>0.4398574226637867</v>
      </c>
    </row>
    <row r="10" spans="2:16" ht="13.5" customHeight="1">
      <c r="B10" s="93" t="s">
        <v>121</v>
      </c>
      <c r="C10" s="532">
        <f>E10*C8</f>
        <v>183180</v>
      </c>
      <c r="D10" s="533"/>
      <c r="E10" s="113">
        <f>'FROTA E CUSTOS'!R15</f>
        <v>1</v>
      </c>
      <c r="F10" s="532">
        <f>H10*F8</f>
        <v>708949.0833333334</v>
      </c>
      <c r="G10" s="533"/>
      <c r="H10" s="113">
        <f>'FROTA E CUSTOS'!R14</f>
        <v>1</v>
      </c>
      <c r="I10" s="532">
        <f>K10*I8</f>
        <v>75205.58333333333</v>
      </c>
      <c r="J10" s="533"/>
      <c r="K10" s="114">
        <f>'FROTA E CUSTOS'!R13</f>
        <v>1</v>
      </c>
      <c r="L10" s="539">
        <f>(I10+F10+C10)/L8</f>
        <v>1</v>
      </c>
      <c r="M10" s="540"/>
      <c r="N10" s="81"/>
      <c r="O10" s="273"/>
      <c r="P10" s="82"/>
    </row>
    <row r="11" spans="2:16" ht="13.5" customHeight="1">
      <c r="B11" s="93" t="s">
        <v>72</v>
      </c>
      <c r="C11" s="573">
        <f>C8/C7</f>
        <v>7964.347826086957</v>
      </c>
      <c r="D11" s="565"/>
      <c r="E11" s="565"/>
      <c r="F11" s="565">
        <f>F8/F7</f>
        <v>6625.692367601247</v>
      </c>
      <c r="G11" s="565"/>
      <c r="H11" s="565"/>
      <c r="I11" s="565">
        <f>I8/I7</f>
        <v>5371.827380952381</v>
      </c>
      <c r="J11" s="565"/>
      <c r="K11" s="580"/>
      <c r="L11" s="563">
        <f>L8/L7</f>
        <v>6717.601851851852</v>
      </c>
      <c r="M11" s="564"/>
      <c r="N11" s="81"/>
      <c r="O11" s="83"/>
      <c r="P11" s="212"/>
    </row>
    <row r="12" spans="2:16" ht="13.5" customHeight="1">
      <c r="B12" s="478" t="s">
        <v>271</v>
      </c>
      <c r="C12" s="548">
        <f>C8/C6</f>
        <v>4467.804878048781</v>
      </c>
      <c r="D12" s="549"/>
      <c r="E12" s="549"/>
      <c r="F12" s="477"/>
      <c r="G12" s="477"/>
      <c r="H12" s="477"/>
      <c r="I12" s="582">
        <f>I8/I6</f>
        <v>3760.2791666666662</v>
      </c>
      <c r="J12" s="583"/>
      <c r="K12" s="584"/>
      <c r="L12" s="473"/>
      <c r="M12" s="474"/>
      <c r="N12" s="81"/>
      <c r="O12" s="83"/>
      <c r="P12" s="212"/>
    </row>
    <row r="13" spans="2:16" ht="13.5" customHeight="1">
      <c r="B13" s="93" t="s">
        <v>73</v>
      </c>
      <c r="C13" s="573">
        <f>C8/C5</f>
        <v>4696.923076923077</v>
      </c>
      <c r="D13" s="565"/>
      <c r="E13" s="565"/>
      <c r="F13" s="565">
        <f>F8/F5</f>
        <v>5453.454487179488</v>
      </c>
      <c r="G13" s="565"/>
      <c r="H13" s="565"/>
      <c r="I13" s="565">
        <f>I8/I5</f>
        <v>5371.827380952381</v>
      </c>
      <c r="J13" s="565"/>
      <c r="K13" s="580"/>
      <c r="L13" s="563">
        <f>L8/L5</f>
        <v>5285.981785063753</v>
      </c>
      <c r="M13" s="564"/>
      <c r="N13" s="81"/>
      <c r="O13" s="81"/>
      <c r="P13" s="82"/>
    </row>
    <row r="14" spans="2:16" ht="13.5" customHeight="1">
      <c r="B14" s="314" t="s">
        <v>149</v>
      </c>
      <c r="C14" s="590">
        <f>C8/(41)</f>
        <v>4467.804878048781</v>
      </c>
      <c r="D14" s="590"/>
      <c r="E14" s="590"/>
      <c r="F14" s="590">
        <f>F8/(156-26)</f>
        <v>5453.454487179488</v>
      </c>
      <c r="G14" s="590"/>
      <c r="H14" s="590"/>
      <c r="I14" s="590">
        <v>0</v>
      </c>
      <c r="J14" s="590"/>
      <c r="K14" s="591"/>
      <c r="L14" s="315"/>
      <c r="M14" s="316"/>
      <c r="N14" s="81"/>
      <c r="O14" s="81"/>
      <c r="P14" s="82"/>
    </row>
    <row r="15" spans="2:16" ht="13.5" customHeight="1">
      <c r="B15" s="571" t="s">
        <v>74</v>
      </c>
      <c r="C15" s="571"/>
      <c r="D15" s="571"/>
      <c r="E15" s="571"/>
      <c r="F15" s="571"/>
      <c r="G15" s="571"/>
      <c r="H15" s="571"/>
      <c r="I15" s="571"/>
      <c r="J15" s="571"/>
      <c r="K15" s="572"/>
      <c r="L15" s="534">
        <f>'KM, PASSAGEIROS E PESSOAL'!C26</f>
        <v>1636817.8333333333</v>
      </c>
      <c r="M15" s="535"/>
      <c r="N15" s="233"/>
      <c r="O15" s="81"/>
      <c r="P15" s="82"/>
    </row>
    <row r="16" spans="2:16" ht="9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84"/>
      <c r="M16" s="84"/>
      <c r="N16" s="81"/>
      <c r="O16" s="81"/>
      <c r="P16" s="82"/>
    </row>
    <row r="17" spans="2:20" ht="13.5" customHeight="1">
      <c r="B17" s="555" t="s">
        <v>28</v>
      </c>
      <c r="C17" s="557" t="s">
        <v>32</v>
      </c>
      <c r="D17" s="537"/>
      <c r="E17" s="538"/>
      <c r="F17" s="557" t="s">
        <v>44</v>
      </c>
      <c r="G17" s="537" t="s">
        <v>44</v>
      </c>
      <c r="H17" s="561"/>
      <c r="I17" s="536" t="s">
        <v>26</v>
      </c>
      <c r="J17" s="537"/>
      <c r="K17" s="538"/>
      <c r="L17" s="557" t="s">
        <v>75</v>
      </c>
      <c r="M17" s="538"/>
      <c r="N17" s="81"/>
      <c r="O17" s="81"/>
      <c r="P17" s="82"/>
      <c r="T17" s="5">
        <v>12</v>
      </c>
    </row>
    <row r="18" spans="2:16" ht="13.5" customHeight="1">
      <c r="B18" s="556"/>
      <c r="C18" s="135" t="s">
        <v>76</v>
      </c>
      <c r="D18" s="136" t="s">
        <v>77</v>
      </c>
      <c r="E18" s="137" t="s">
        <v>78</v>
      </c>
      <c r="F18" s="135" t="s">
        <v>76</v>
      </c>
      <c r="G18" s="136" t="s">
        <v>77</v>
      </c>
      <c r="H18" s="138" t="s">
        <v>78</v>
      </c>
      <c r="I18" s="139" t="s">
        <v>76</v>
      </c>
      <c r="J18" s="136" t="s">
        <v>77</v>
      </c>
      <c r="K18" s="136" t="s">
        <v>78</v>
      </c>
      <c r="L18" s="135" t="s">
        <v>79</v>
      </c>
      <c r="M18" s="137" t="s">
        <v>2</v>
      </c>
      <c r="N18" s="81"/>
      <c r="O18" s="81"/>
      <c r="P18" s="82"/>
    </row>
    <row r="19" spans="2:16" ht="9.75" customHeight="1">
      <c r="B19" s="9"/>
      <c r="C19" s="84"/>
      <c r="D19" s="84"/>
      <c r="E19" s="84"/>
      <c r="F19" s="84"/>
      <c r="G19" s="84"/>
      <c r="H19" s="84"/>
      <c r="I19" s="84"/>
      <c r="J19" s="84"/>
      <c r="K19" s="84"/>
      <c r="L19" s="9"/>
      <c r="M19" s="9"/>
      <c r="N19" s="81"/>
      <c r="P19" s="5"/>
    </row>
    <row r="20" spans="2:14" ht="15" customHeight="1">
      <c r="B20" s="140" t="s">
        <v>82</v>
      </c>
      <c r="C20" s="141"/>
      <c r="D20" s="142"/>
      <c r="E20" s="143">
        <f>SUM(E21:E28)</f>
        <v>2.1966991542857146</v>
      </c>
      <c r="F20" s="144"/>
      <c r="G20" s="145"/>
      <c r="H20" s="146">
        <f>SUM(H21:H28)</f>
        <v>2.5641722742857143</v>
      </c>
      <c r="I20" s="147"/>
      <c r="J20" s="145"/>
      <c r="K20" s="143">
        <f>SUM(K21:K28)</f>
        <v>5.0544320280952375</v>
      </c>
      <c r="L20" s="148">
        <f aca="true" t="shared" si="0" ref="L20:L28">($E20*$E$8)+($H20*$H$8)+($K20*$K$8)</f>
        <v>2.6881911019460154</v>
      </c>
      <c r="M20" s="186">
        <f aca="true" t="shared" si="1" ref="M20:M28">L20/$L$55</f>
        <v>0.29029416968277827</v>
      </c>
      <c r="N20" s="81"/>
    </row>
    <row r="21" spans="2:16" ht="15" customHeight="1">
      <c r="B21" s="94" t="s">
        <v>128</v>
      </c>
      <c r="C21" s="110">
        <v>0.3368</v>
      </c>
      <c r="D21" s="106">
        <f>'FROTA E CUSTOS'!N5</f>
        <v>0</v>
      </c>
      <c r="E21" s="87">
        <f>E9*(C21*D21)</f>
        <v>0</v>
      </c>
      <c r="F21" s="111">
        <v>0.3982</v>
      </c>
      <c r="G21" s="106">
        <f>'FROTA E CUSTOS'!N5</f>
        <v>0</v>
      </c>
      <c r="H21" s="87">
        <f>H9*(F21*G21)</f>
        <v>0</v>
      </c>
      <c r="I21" s="112">
        <v>0.7938</v>
      </c>
      <c r="J21" s="106">
        <f>'FROTA E CUSTOS'!N5</f>
        <v>0</v>
      </c>
      <c r="K21" s="87">
        <f>K9*(I21*J21)</f>
        <v>0</v>
      </c>
      <c r="L21" s="104">
        <f t="shared" si="0"/>
        <v>0</v>
      </c>
      <c r="M21" s="187">
        <f t="shared" si="1"/>
        <v>0</v>
      </c>
      <c r="N21" s="81"/>
      <c r="P21" s="5"/>
    </row>
    <row r="22" spans="2:16" ht="15" customHeight="1">
      <c r="B22" s="94" t="s">
        <v>129</v>
      </c>
      <c r="C22" s="110">
        <v>0.3368</v>
      </c>
      <c r="D22" s="106">
        <f>'FROTA E CUSTOS'!N8</f>
        <v>5.546</v>
      </c>
      <c r="E22" s="87">
        <f>E10*(C22*D22)</f>
        <v>1.8678928000000001</v>
      </c>
      <c r="F22" s="111">
        <v>0.3982</v>
      </c>
      <c r="G22" s="106">
        <f>'FROTA E CUSTOS'!N8</f>
        <v>5.546</v>
      </c>
      <c r="H22" s="87">
        <f>H10*(F22*G22)</f>
        <v>2.2084172</v>
      </c>
      <c r="I22" s="112">
        <v>0.7938</v>
      </c>
      <c r="J22" s="106">
        <f>'FROTA E CUSTOS'!N8</f>
        <v>5.546</v>
      </c>
      <c r="K22" s="87">
        <f>K10*(I22*J22)</f>
        <v>4.4024148</v>
      </c>
      <c r="L22" s="104">
        <f t="shared" si="0"/>
        <v>2.3145062437241988</v>
      </c>
      <c r="M22" s="187">
        <f t="shared" si="1"/>
        <v>0.24994044052937098</v>
      </c>
      <c r="N22" s="270" t="s">
        <v>116</v>
      </c>
      <c r="P22" s="5"/>
    </row>
    <row r="23" spans="2:16" ht="15" customHeight="1">
      <c r="B23" s="94" t="s">
        <v>130</v>
      </c>
      <c r="C23" s="110">
        <v>0.0168</v>
      </c>
      <c r="D23" s="106">
        <f>'FROTA E CUSTOS'!N12</f>
        <v>3.15</v>
      </c>
      <c r="E23" s="87">
        <f>E10*(C23*D23)</f>
        <v>0.052919999999999995</v>
      </c>
      <c r="F23" s="111">
        <v>0.0198</v>
      </c>
      <c r="G23" s="106">
        <f>'FROTA E CUSTOS'!N12</f>
        <v>3.15</v>
      </c>
      <c r="H23" s="87">
        <f>H10*(F23*G23)</f>
        <v>0.06237</v>
      </c>
      <c r="I23" s="112">
        <v>0.0335</v>
      </c>
      <c r="J23" s="106">
        <f>'FROTA E CUSTOS'!N12</f>
        <v>3.15</v>
      </c>
      <c r="K23" s="87">
        <f>K10*(I23*J23)</f>
        <v>0.10552500000000001</v>
      </c>
      <c r="L23" s="104">
        <f t="shared" si="0"/>
        <v>0.06393558634869215</v>
      </c>
      <c r="M23" s="187">
        <f t="shared" si="1"/>
        <v>0.0069043186471524475</v>
      </c>
      <c r="N23" s="81"/>
      <c r="P23" s="5"/>
    </row>
    <row r="24" spans="2:16" ht="15" customHeight="1">
      <c r="B24" s="95" t="s">
        <v>0</v>
      </c>
      <c r="C24" s="115">
        <v>0.05</v>
      </c>
      <c r="D24" s="248">
        <f>E21+E22+E23</f>
        <v>1.9208128000000002</v>
      </c>
      <c r="E24" s="88">
        <f>C24*D24</f>
        <v>0.09604064000000001</v>
      </c>
      <c r="F24" s="115">
        <v>0.05</v>
      </c>
      <c r="G24" s="248">
        <f>H21+H22+H23</f>
        <v>2.2707872</v>
      </c>
      <c r="H24" s="89">
        <f>0.05*G24</f>
        <v>0.11353936</v>
      </c>
      <c r="I24" s="115">
        <v>0.05</v>
      </c>
      <c r="J24" s="248">
        <f>K21+K22+K23</f>
        <v>4.5079398</v>
      </c>
      <c r="K24" s="88">
        <f>0.05*J24</f>
        <v>0.22539699000000002</v>
      </c>
      <c r="L24" s="86">
        <f t="shared" si="0"/>
        <v>0.11892209150364455</v>
      </c>
      <c r="M24" s="188">
        <f t="shared" si="1"/>
        <v>0.012842237958826172</v>
      </c>
      <c r="N24" s="81"/>
      <c r="P24" s="5"/>
    </row>
    <row r="25" spans="2:16" ht="15" customHeight="1">
      <c r="B25" s="96" t="s">
        <v>61</v>
      </c>
      <c r="C25" s="116">
        <f>6*1/105000</f>
        <v>5.714285714285714E-05</v>
      </c>
      <c r="D25" s="121">
        <f>'FROTA E CUSTOS'!K17</f>
        <v>1847.3</v>
      </c>
      <c r="E25" s="88">
        <f>C25*D25</f>
        <v>0.10556</v>
      </c>
      <c r="F25" s="116">
        <f>6*1/105000</f>
        <v>5.714285714285714E-05</v>
      </c>
      <c r="G25" s="121">
        <f>'FROTA E CUSTOS'!K17</f>
        <v>1847.3</v>
      </c>
      <c r="H25" s="89">
        <f>F25*G25</f>
        <v>0.10556</v>
      </c>
      <c r="I25" s="115"/>
      <c r="J25" s="108"/>
      <c r="K25" s="88"/>
      <c r="L25" s="86">
        <f>($E25*$E$8)+($H25*$H$8)+($K25*$K$8)</f>
        <v>0.09735322146695868</v>
      </c>
      <c r="M25" s="188">
        <f t="shared" si="1"/>
        <v>0.010513044467424898</v>
      </c>
      <c r="N25" s="81"/>
      <c r="P25" s="5"/>
    </row>
    <row r="26" spans="2:16" ht="15" customHeight="1">
      <c r="B26" s="96" t="s">
        <v>62</v>
      </c>
      <c r="C26" s="115"/>
      <c r="D26" s="133"/>
      <c r="E26" s="88"/>
      <c r="F26" s="118"/>
      <c r="G26" s="36"/>
      <c r="H26" s="89"/>
      <c r="I26" s="116">
        <f>10*1/105000</f>
        <v>9.523809523809524E-05</v>
      </c>
      <c r="J26" s="108">
        <f>'FROTA E CUSTOS'!K18</f>
        <v>1999</v>
      </c>
      <c r="K26" s="88">
        <f>I26*J26</f>
        <v>0.19038095238095237</v>
      </c>
      <c r="L26" s="86">
        <f>($E26*$E$8)+($H26*$H$8)+($K26*$K$8)</f>
        <v>0.0148011966000375</v>
      </c>
      <c r="M26" s="188">
        <f t="shared" si="1"/>
        <v>0.0015983614685016296</v>
      </c>
      <c r="N26" s="81"/>
      <c r="P26" s="5"/>
    </row>
    <row r="27" spans="2:16" ht="15" customHeight="1">
      <c r="B27" s="96" t="s">
        <v>63</v>
      </c>
      <c r="C27" s="116">
        <f>2.5*6/105000</f>
        <v>0.00014285714285714287</v>
      </c>
      <c r="D27" s="121">
        <f>'FROTA E CUSTOS'!K19</f>
        <v>520</v>
      </c>
      <c r="E27" s="88">
        <f>C27*D27</f>
        <v>0.07428571428571429</v>
      </c>
      <c r="F27" s="116">
        <f>2.5*6/105000</f>
        <v>0.00014285714285714287</v>
      </c>
      <c r="G27" s="121">
        <f>'FROTA E CUSTOS'!K19</f>
        <v>520</v>
      </c>
      <c r="H27" s="89">
        <f>F27*G27</f>
        <v>0.07428571428571429</v>
      </c>
      <c r="I27" s="115"/>
      <c r="J27" s="108"/>
      <c r="K27" s="88"/>
      <c r="L27" s="86">
        <f t="shared" si="0"/>
        <v>0.06851035993452406</v>
      </c>
      <c r="M27" s="188">
        <f t="shared" si="1"/>
        <v>0.007398342341607952</v>
      </c>
      <c r="N27" s="81"/>
      <c r="P27" s="5"/>
    </row>
    <row r="28" spans="2:16" ht="15" customHeight="1">
      <c r="B28" s="105" t="s">
        <v>64</v>
      </c>
      <c r="C28" s="117"/>
      <c r="D28" s="107"/>
      <c r="E28" s="98"/>
      <c r="F28" s="119"/>
      <c r="G28" s="109"/>
      <c r="H28" s="99"/>
      <c r="I28" s="120">
        <f>2.5*10/105000</f>
        <v>0.0002380952380952381</v>
      </c>
      <c r="J28" s="109">
        <f>'FROTA E CUSTOS'!K20</f>
        <v>549</v>
      </c>
      <c r="K28" s="100">
        <f>I28*J28</f>
        <v>0.13071428571428573</v>
      </c>
      <c r="L28" s="150">
        <f t="shared" si="0"/>
        <v>0.010162402367959716</v>
      </c>
      <c r="M28" s="189">
        <f t="shared" si="1"/>
        <v>0.0010974242698941906</v>
      </c>
      <c r="N28" s="81"/>
      <c r="P28" s="5"/>
    </row>
    <row r="29" spans="2:16" ht="9.75" customHeight="1">
      <c r="B29" s="9"/>
      <c r="C29" s="84"/>
      <c r="D29" s="84"/>
      <c r="E29" s="84"/>
      <c r="F29" s="84"/>
      <c r="G29" s="84"/>
      <c r="H29" s="84"/>
      <c r="I29" s="84"/>
      <c r="J29" s="84"/>
      <c r="K29" s="84"/>
      <c r="L29" s="9"/>
      <c r="M29" s="190"/>
      <c r="N29" s="81"/>
      <c r="P29" s="5"/>
    </row>
    <row r="30" spans="2:13" s="153" customFormat="1" ht="15" customHeight="1">
      <c r="B30" s="158" t="s">
        <v>83</v>
      </c>
      <c r="C30" s="154"/>
      <c r="D30" s="155"/>
      <c r="E30" s="156">
        <f>SUM(E31:E43)</f>
        <v>3.502808346270264</v>
      </c>
      <c r="F30" s="159"/>
      <c r="G30" s="160"/>
      <c r="H30" s="157">
        <f>SUM(H31:H43)</f>
        <v>5.416266019510009</v>
      </c>
      <c r="I30" s="161"/>
      <c r="J30" s="160"/>
      <c r="K30" s="156">
        <f>SUM(K31:K43)</f>
        <v>7.330297660474134</v>
      </c>
      <c r="L30" s="162">
        <f aca="true" t="shared" si="2" ref="L30:L43">($E30*$E$8)+($H30*$H$8)+($K30*$K$8)</f>
        <v>5.202729466314122</v>
      </c>
      <c r="M30" s="191">
        <f aca="true" t="shared" si="3" ref="M30:M43">L30/$L$55</f>
        <v>0.5618358119757338</v>
      </c>
    </row>
    <row r="31" spans="2:14" ht="15" customHeight="1">
      <c r="B31" s="94" t="s">
        <v>3</v>
      </c>
      <c r="C31" s="247">
        <v>0.0064</v>
      </c>
      <c r="D31" s="125">
        <f>'FROTA E CUSTOS'!H4</f>
        <v>496916.2</v>
      </c>
      <c r="E31" s="127">
        <f>(C31*D31)/C11</f>
        <v>0.399312504858609</v>
      </c>
      <c r="F31" s="247">
        <v>0.0064</v>
      </c>
      <c r="G31" s="123">
        <f>'FROTA E CUSTOS'!H5</f>
        <v>543916.2</v>
      </c>
      <c r="H31" s="127">
        <f>(F31*G31)/F11</f>
        <v>0.5253886668541898</v>
      </c>
      <c r="I31" s="247">
        <v>0.0064</v>
      </c>
      <c r="J31" s="123">
        <f>'FROTA E CUSTOS'!H6</f>
        <v>1208010</v>
      </c>
      <c r="K31" s="127">
        <f>(I31*J31)/I11</f>
        <v>1.4392242065360838</v>
      </c>
      <c r="L31" s="104">
        <f>($E31*$E$8)+($H31*$H$8)+($K31*$K$8)</f>
        <v>0.5725604524321813</v>
      </c>
      <c r="M31" s="187">
        <f t="shared" si="3"/>
        <v>0.061830039170828945</v>
      </c>
      <c r="N31" s="81"/>
    </row>
    <row r="32" spans="2:14" ht="15" customHeight="1">
      <c r="B32" s="96" t="s">
        <v>4</v>
      </c>
      <c r="C32" s="122">
        <f>'KM, PASSAGEIROS E PESSOAL'!O20</f>
        <v>3.164332664183223</v>
      </c>
      <c r="D32" s="36">
        <f>'FROTA E CUSTOS'!K5</f>
        <v>1809.75</v>
      </c>
      <c r="E32" s="128">
        <f>(C32*D32*1.423893)/C$11</f>
        <v>1.0238300116896168</v>
      </c>
      <c r="F32" s="122">
        <f>C32</f>
        <v>3.164332664183223</v>
      </c>
      <c r="G32" s="108">
        <f>'FROTA E CUSTOS'!K4</f>
        <v>2288.46</v>
      </c>
      <c r="H32" s="128">
        <f>(F32*G32*1.423893)/F$11</f>
        <v>1.5562219889715014</v>
      </c>
      <c r="I32" s="122">
        <f>F32</f>
        <v>3.164332664183223</v>
      </c>
      <c r="J32" s="108">
        <f>'FROTA E CUSTOS'!K4</f>
        <v>2288.46</v>
      </c>
      <c r="K32" s="128">
        <f>(I32*J32*1.423893)/I$11</f>
        <v>1.9194675151295806</v>
      </c>
      <c r="L32" s="86">
        <f>($E32*$E$8)+($H32*$H$8)+($K32*$K$8)</f>
        <v>1.4836457926148938</v>
      </c>
      <c r="M32" s="188">
        <f t="shared" si="3"/>
        <v>0.16021692920518316</v>
      </c>
      <c r="N32" s="81"/>
    </row>
    <row r="33" spans="2:14" ht="15" customHeight="1">
      <c r="B33" s="96" t="s">
        <v>5</v>
      </c>
      <c r="C33" s="122">
        <v>0</v>
      </c>
      <c r="D33" s="36">
        <v>0</v>
      </c>
      <c r="E33" s="128">
        <f>(C33*D33*1.423893)/C$11</f>
        <v>0</v>
      </c>
      <c r="F33" s="118">
        <f>'KM, PASSAGEIROS E PESSOAL'!R20</f>
        <v>3.309079054004365</v>
      </c>
      <c r="G33" s="108">
        <f>'FROTA E CUSTOS'!K6</f>
        <v>1370.87</v>
      </c>
      <c r="H33" s="128">
        <f>(F33*G33*1.423893)/F$11</f>
        <v>0.97487627744061</v>
      </c>
      <c r="I33" s="118">
        <f>F33</f>
        <v>3.309079054004365</v>
      </c>
      <c r="J33" s="108">
        <f>'FROTA E CUSTOS'!K6</f>
        <v>1370.87</v>
      </c>
      <c r="K33" s="279">
        <f>(I33*J33*1.423893)/I$11</f>
        <v>1.202427005323577</v>
      </c>
      <c r="L33" s="86">
        <f>($E33*$E$8)+($H33*$H$8)+($K33*$K$8)</f>
        <v>0.8079591216339248</v>
      </c>
      <c r="M33" s="188">
        <f t="shared" si="3"/>
        <v>0.08725042731618164</v>
      </c>
      <c r="N33" s="81"/>
    </row>
    <row r="34" spans="2:14" ht="15" customHeight="1">
      <c r="B34" s="96" t="s">
        <v>65</v>
      </c>
      <c r="C34" s="122">
        <f>1/5</f>
        <v>0.2</v>
      </c>
      <c r="D34" s="108">
        <f>G34</f>
        <v>2288.46</v>
      </c>
      <c r="E34" s="128">
        <f>(C34*D34*1.423893)/C$11</f>
        <v>0.08182772138873239</v>
      </c>
      <c r="F34" s="122">
        <f>1/5</f>
        <v>0.2</v>
      </c>
      <c r="G34" s="108">
        <f>'FROTA E CUSTOS'!K4</f>
        <v>2288.46</v>
      </c>
      <c r="H34" s="128">
        <f>(F34*G34*1.423893)/F$11</f>
        <v>0.09836020128896233</v>
      </c>
      <c r="I34" s="122">
        <f>1/5</f>
        <v>0.2</v>
      </c>
      <c r="J34" s="108">
        <f>'FROTA E CUSTOS'!K4</f>
        <v>2288.46</v>
      </c>
      <c r="K34" s="128">
        <f>(I34*J34*1.423893)/I$11</f>
        <v>0.12131894581475888</v>
      </c>
      <c r="L34" s="86">
        <f>($E34*$E$8)+($H34*$H$8)+($K34*$K$8)</f>
        <v>0.09701444791288778</v>
      </c>
      <c r="M34" s="188">
        <f t="shared" si="3"/>
        <v>0.010476460763417282</v>
      </c>
      <c r="N34" s="81"/>
    </row>
    <row r="35" spans="2:14" ht="15" customHeight="1">
      <c r="B35" s="95" t="s">
        <v>6</v>
      </c>
      <c r="C35" s="122">
        <v>0.135</v>
      </c>
      <c r="D35" s="126">
        <f>SUM(E32:E34)</f>
        <v>1.1056577330783492</v>
      </c>
      <c r="E35" s="128">
        <f>C35*D35</f>
        <v>0.14926379396557715</v>
      </c>
      <c r="F35" s="122">
        <v>0.135</v>
      </c>
      <c r="G35" s="126">
        <f>SUM(H32:H34)</f>
        <v>2.629458467701074</v>
      </c>
      <c r="H35" s="131">
        <f>F35*G35</f>
        <v>0.35497689313964503</v>
      </c>
      <c r="I35" s="122">
        <v>0.135</v>
      </c>
      <c r="J35" s="126">
        <f>SUM(K32:K34)</f>
        <v>3.2432134662679166</v>
      </c>
      <c r="K35" s="128">
        <f>I35*J35</f>
        <v>0.43783381794616877</v>
      </c>
      <c r="L35" s="86">
        <f t="shared" si="2"/>
        <v>0.3224636138918304</v>
      </c>
      <c r="M35" s="188">
        <f t="shared" si="3"/>
        <v>0.034822415333445586</v>
      </c>
      <c r="N35" s="81"/>
    </row>
    <row r="36" spans="2:14" ht="15" customHeight="1">
      <c r="B36" s="95" t="s">
        <v>48</v>
      </c>
      <c r="C36" s="122">
        <f>C8/$L$8/C7</f>
        <v>0.008233291021742516</v>
      </c>
      <c r="D36" s="36">
        <f>'FROTA E CUSTOS'!K11*GETPIVOTDATA("Nome",'KM, PASSAGEIROS E PESSOAL'!$U$16)</f>
        <v>1054400</v>
      </c>
      <c r="E36" s="129">
        <f>(C36*D36)/C11</f>
        <v>1.0900053893792012</v>
      </c>
      <c r="F36" s="122">
        <f>F8/$L$8/F7</f>
        <v>0.0068494313249753405</v>
      </c>
      <c r="G36" s="36">
        <f>D36</f>
        <v>1054400</v>
      </c>
      <c r="H36" s="132">
        <f>(F36*G36)/F11</f>
        <v>1.0900053893792014</v>
      </c>
      <c r="I36" s="122">
        <f>I8/$L$8/I7</f>
        <v>0.005553225337682904</v>
      </c>
      <c r="J36" s="36">
        <f>G36</f>
        <v>1054400</v>
      </c>
      <c r="K36" s="129">
        <f>(I36*J36)/I11</f>
        <v>1.0900053893792012</v>
      </c>
      <c r="L36" s="86">
        <f t="shared" si="2"/>
        <v>1.0900053893792014</v>
      </c>
      <c r="M36" s="188">
        <f t="shared" si="3"/>
        <v>0.11770822737659041</v>
      </c>
      <c r="N36" s="97"/>
    </row>
    <row r="37" spans="2:14" ht="15" customHeight="1">
      <c r="B37" s="95" t="s">
        <v>7</v>
      </c>
      <c r="C37" s="122">
        <f>C33+C34+C35+((C33+C34+C35)*C36)</f>
        <v>0.33775815249228375</v>
      </c>
      <c r="D37" s="126"/>
      <c r="E37" s="130">
        <f>(((D32)*0.1/12)*(C32+C33+C34)*C7)/C8</f>
        <v>0.006370683839990198</v>
      </c>
      <c r="F37" s="118"/>
      <c r="G37" s="124"/>
      <c r="H37" s="130">
        <f>(((G32)*0.1/12)*(F32+F33+F34)*F7)/F8</f>
        <v>0.01920784894783325</v>
      </c>
      <c r="I37" s="115"/>
      <c r="J37" s="124"/>
      <c r="K37" s="130">
        <f>(((J32)*0.1/12)*(I32+I33+I34)*I7)/I8</f>
        <v>0.023691248647147205</v>
      </c>
      <c r="L37" s="86">
        <f t="shared" si="2"/>
        <v>0.01712549287794021</v>
      </c>
      <c r="M37" s="188">
        <f t="shared" si="3"/>
        <v>0.0018493591217570448</v>
      </c>
      <c r="N37" s="81"/>
    </row>
    <row r="38" spans="2:14" ht="15" customHeight="1">
      <c r="B38" s="95" t="s">
        <v>8</v>
      </c>
      <c r="C38" s="122">
        <f>C8/$L$8/C7</f>
        <v>0.008233291021742516</v>
      </c>
      <c r="D38" s="36">
        <f>'FROTA E CUSTOS'!K35</f>
        <v>0</v>
      </c>
      <c r="E38" s="128">
        <f>D38*C38/C11</f>
        <v>0</v>
      </c>
      <c r="F38" s="122">
        <f>F8/$L$8/F7</f>
        <v>0.0068494313249753405</v>
      </c>
      <c r="G38" s="36">
        <f>D38</f>
        <v>0</v>
      </c>
      <c r="H38" s="131">
        <f>G38*F38/F11</f>
        <v>0</v>
      </c>
      <c r="I38" s="122">
        <f>I8/$L$8/I7</f>
        <v>0.005553225337682904</v>
      </c>
      <c r="J38" s="36">
        <f>G38</f>
        <v>0</v>
      </c>
      <c r="K38" s="128">
        <f>J38*I38/I11</f>
        <v>0</v>
      </c>
      <c r="L38" s="86">
        <f t="shared" si="2"/>
        <v>0</v>
      </c>
      <c r="M38" s="188">
        <f t="shared" si="3"/>
        <v>0</v>
      </c>
      <c r="N38" s="81"/>
    </row>
    <row r="39" spans="2:14" ht="15" customHeight="1">
      <c r="B39" s="95" t="s">
        <v>80</v>
      </c>
      <c r="C39" s="115"/>
      <c r="D39" s="36">
        <f>'FROTA E CUSTOS'!K27</f>
        <v>1750.9099999999999</v>
      </c>
      <c r="E39" s="128">
        <f>D39/12/C12</f>
        <v>0.032657909342359064</v>
      </c>
      <c r="F39" s="118"/>
      <c r="G39" s="36">
        <f>D39</f>
        <v>1750.9099999999999</v>
      </c>
      <c r="H39" s="131">
        <f>G39/12/F13</f>
        <v>0.02675536524778636</v>
      </c>
      <c r="I39" s="115"/>
      <c r="J39" s="36">
        <f>G39</f>
        <v>1750.9099999999999</v>
      </c>
      <c r="K39" s="128">
        <f>J39/12/I12</f>
        <v>0.0388027484661489</v>
      </c>
      <c r="L39" s="86">
        <f t="shared" si="2"/>
        <v>0.028809730276043725</v>
      </c>
      <c r="M39" s="188">
        <f t="shared" si="3"/>
        <v>0.0031111243256532676</v>
      </c>
      <c r="N39" s="81"/>
    </row>
    <row r="40" spans="2:14" ht="15" customHeight="1">
      <c r="B40" s="95" t="s">
        <v>81</v>
      </c>
      <c r="C40" s="115">
        <f>C8/$L$8/C7</f>
        <v>0.008233291021742516</v>
      </c>
      <c r="D40" s="36">
        <f>GETPIVOTDATA("Nome",'KM, PASSAGEIROS E PESSOAL'!$U$16)*'FROTA E CUSTOS'!K14</f>
        <v>0</v>
      </c>
      <c r="E40" s="128">
        <f>(C40*D40)/C11</f>
        <v>0</v>
      </c>
      <c r="F40" s="115">
        <f>F8/$L$8/F7</f>
        <v>0.0068494313249753405</v>
      </c>
      <c r="G40" s="108">
        <f>D40</f>
        <v>0</v>
      </c>
      <c r="H40" s="131">
        <f>(F40*G40)/F11</f>
        <v>0</v>
      </c>
      <c r="I40" s="115">
        <f>I8/$L$8/I7</f>
        <v>0.005553225337682904</v>
      </c>
      <c r="J40" s="108">
        <f>D40</f>
        <v>0</v>
      </c>
      <c r="K40" s="149">
        <f>(I40*J40)/I11</f>
        <v>0</v>
      </c>
      <c r="L40" s="86">
        <f>($E40*$E$8)+($H40*$H$8)+($K40*$K$8)</f>
        <v>0</v>
      </c>
      <c r="M40" s="188">
        <f t="shared" si="3"/>
        <v>0</v>
      </c>
      <c r="N40" s="81"/>
    </row>
    <row r="41" spans="2:14" ht="15" customHeight="1">
      <c r="B41" s="95" t="s">
        <v>12</v>
      </c>
      <c r="C41" s="122">
        <v>0.105</v>
      </c>
      <c r="D41" s="126">
        <f>SUM(E32:E34)</f>
        <v>1.1056577330783492</v>
      </c>
      <c r="E41" s="128">
        <f>C41*D41</f>
        <v>0.11609406197322666</v>
      </c>
      <c r="F41" s="122">
        <v>0.105</v>
      </c>
      <c r="G41" s="126">
        <f>SUM(H32:H34)</f>
        <v>2.629458467701074</v>
      </c>
      <c r="H41" s="131">
        <f>F41*G41</f>
        <v>0.2760931391086128</v>
      </c>
      <c r="I41" s="122">
        <v>0.105</v>
      </c>
      <c r="J41" s="126">
        <f>SUM(K32:K34)</f>
        <v>3.2432134662679166</v>
      </c>
      <c r="K41" s="128">
        <f>I41*J41</f>
        <v>0.34053741395813125</v>
      </c>
      <c r="L41" s="86">
        <f>($E41*$E$8)+($H41*$H$8)+($K41*$K$8)</f>
        <v>0.2508050330269792</v>
      </c>
      <c r="M41" s="188">
        <f t="shared" si="3"/>
        <v>0.02708410081490212</v>
      </c>
      <c r="N41" s="81"/>
    </row>
    <row r="42" spans="2:14" ht="15" customHeight="1">
      <c r="B42" s="95" t="s">
        <v>10</v>
      </c>
      <c r="C42" s="122">
        <v>0.0033</v>
      </c>
      <c r="D42" s="36">
        <f>'FROTA E CUSTOS'!F5</f>
        <v>555000</v>
      </c>
      <c r="E42" s="128">
        <f>C42*D42/$C$12</f>
        <v>0.40993285293154275</v>
      </c>
      <c r="F42" s="122">
        <f>C42</f>
        <v>0.0033</v>
      </c>
      <c r="G42" s="36">
        <f>D42</f>
        <v>555000</v>
      </c>
      <c r="H42" s="128">
        <f>F42*G42/$F$13</f>
        <v>0.33584217202246186</v>
      </c>
      <c r="I42" s="122">
        <f>F42</f>
        <v>0.0033</v>
      </c>
      <c r="J42" s="36">
        <f>G42</f>
        <v>555000</v>
      </c>
      <c r="K42" s="128">
        <f>I42*J42/$I$12</f>
        <v>0.4870649009880694</v>
      </c>
      <c r="L42" s="86">
        <f t="shared" si="2"/>
        <v>0.3616292396564581</v>
      </c>
      <c r="M42" s="188">
        <f t="shared" si="3"/>
        <v>0.039051858992870864</v>
      </c>
      <c r="N42" s="81"/>
    </row>
    <row r="43" spans="2:14" ht="15" customHeight="1">
      <c r="B43" s="95" t="s">
        <v>11</v>
      </c>
      <c r="C43" s="122">
        <v>0.3778</v>
      </c>
      <c r="D43" s="36">
        <f>G43</f>
        <v>2288.46</v>
      </c>
      <c r="E43" s="128">
        <f>C43*D43/$C$12</f>
        <v>0.19351341690140844</v>
      </c>
      <c r="F43" s="122">
        <f>C43</f>
        <v>0.3778</v>
      </c>
      <c r="G43" s="108">
        <f>G32</f>
        <v>2288.46</v>
      </c>
      <c r="H43" s="128">
        <f>F43*G43/$F$13</f>
        <v>0.1585380771092047</v>
      </c>
      <c r="I43" s="122">
        <f>F43</f>
        <v>0.3778</v>
      </c>
      <c r="J43" s="108">
        <f>J32</f>
        <v>2288.46</v>
      </c>
      <c r="K43" s="128">
        <f>I43*J43/$I$12</f>
        <v>0.22992446828526697</v>
      </c>
      <c r="L43" s="86">
        <f t="shared" si="2"/>
        <v>0.17071115261178135</v>
      </c>
      <c r="M43" s="188">
        <f t="shared" si="3"/>
        <v>0.018434869554903508</v>
      </c>
      <c r="N43" s="81"/>
    </row>
    <row r="44" spans="2:16" ht="9.75" customHeight="1">
      <c r="B44" s="9"/>
      <c r="C44" s="84"/>
      <c r="D44" s="84"/>
      <c r="E44" s="84"/>
      <c r="F44" s="84"/>
      <c r="G44" s="84"/>
      <c r="H44" s="84"/>
      <c r="I44" s="84"/>
      <c r="J44" s="84"/>
      <c r="K44" s="84"/>
      <c r="L44" s="9"/>
      <c r="M44" s="190"/>
      <c r="N44" s="81"/>
      <c r="P44" s="5"/>
    </row>
    <row r="45" spans="2:13" s="153" customFormat="1" ht="15" customHeight="1">
      <c r="B45" s="163" t="s">
        <v>90</v>
      </c>
      <c r="C45" s="164"/>
      <c r="D45" s="165"/>
      <c r="E45" s="166">
        <f>E20+E30</f>
        <v>5.6995075005559785</v>
      </c>
      <c r="F45" s="167"/>
      <c r="G45" s="168"/>
      <c r="H45" s="166">
        <f>H20+H30</f>
        <v>7.980438293795723</v>
      </c>
      <c r="I45" s="167"/>
      <c r="J45" s="168"/>
      <c r="K45" s="166">
        <f>K20+K30</f>
        <v>12.384729688569372</v>
      </c>
      <c r="L45" s="169">
        <f>(E45*$E$8)+(H45*$H$8)+(K45*$K$8)</f>
        <v>7.890920568260138</v>
      </c>
      <c r="M45" s="192">
        <f>L45/$L$55</f>
        <v>0.8521299816585122</v>
      </c>
    </row>
    <row r="46" spans="2:16" ht="9.75" customHeight="1">
      <c r="B46" s="9"/>
      <c r="C46" s="84"/>
      <c r="D46" s="84"/>
      <c r="E46" s="84"/>
      <c r="F46" s="84"/>
      <c r="G46" s="84"/>
      <c r="H46" s="84"/>
      <c r="I46" s="84"/>
      <c r="J46" s="84"/>
      <c r="K46" s="84"/>
      <c r="L46" s="9"/>
      <c r="M46" s="190"/>
      <c r="N46" s="81"/>
      <c r="P46" s="5"/>
    </row>
    <row r="47" spans="2:14" s="153" customFormat="1" ht="15" customHeight="1">
      <c r="B47" s="158" t="s">
        <v>91</v>
      </c>
      <c r="C47" s="154"/>
      <c r="D47" s="155"/>
      <c r="E47" s="156">
        <f>E48+E50+E51+E52+E53</f>
        <v>1.3376804617097935</v>
      </c>
      <c r="F47" s="159"/>
      <c r="G47" s="160"/>
      <c r="H47" s="157">
        <f>H48+H50+H51+H52+H53</f>
        <v>1.2972215124616961</v>
      </c>
      <c r="I47" s="161"/>
      <c r="J47" s="160"/>
      <c r="K47" s="156">
        <f>K48+K50+K51+K52+K53</f>
        <v>2.1259226099126067</v>
      </c>
      <c r="L47" s="162">
        <f>L48+L50+L51+L52+L53</f>
        <v>1.369310544488567</v>
      </c>
      <c r="M47" s="191">
        <f aca="true" t="shared" si="4" ref="M47:M53">L47/$L$55</f>
        <v>0.14787001834148777</v>
      </c>
      <c r="N47" s="476">
        <v>1.4279</v>
      </c>
    </row>
    <row r="48" spans="2:14" ht="15" customHeight="1">
      <c r="B48" s="94" t="s">
        <v>85</v>
      </c>
      <c r="C48" s="92">
        <f>1/120</f>
        <v>0.008333333333333333</v>
      </c>
      <c r="D48" s="125">
        <f>'FROTA E CUSTOS'!H4</f>
        <v>496916.2</v>
      </c>
      <c r="E48" s="152">
        <f>C48*D48*0.9/C14</f>
        <v>0.8341616524729774</v>
      </c>
      <c r="F48" s="92">
        <f>1/120</f>
        <v>0.008333333333333333</v>
      </c>
      <c r="G48" s="123">
        <f>'FROTA E CUSTOS'!H5</f>
        <v>543916.2</v>
      </c>
      <c r="H48" s="152">
        <f>F48*G48*0.9/F14</f>
        <v>0.7480343898697941</v>
      </c>
      <c r="I48" s="92">
        <f>1/120</f>
        <v>0.008333333333333333</v>
      </c>
      <c r="J48" s="123">
        <f>'FROTA E CUSTOS'!H6</f>
        <v>1208010</v>
      </c>
      <c r="K48" s="152">
        <f>I48*J48*0.9/I13</f>
        <v>1.6865908670344736</v>
      </c>
      <c r="L48" s="104">
        <f>(E48*$E$8)+(H48*$H$8)+(K48*$K$8)</f>
        <v>0.8373121572196316</v>
      </c>
      <c r="M48" s="187">
        <f t="shared" si="4"/>
        <v>0.09042022245717937</v>
      </c>
      <c r="N48" s="81"/>
    </row>
    <row r="49" spans="2:14" ht="15" customHeight="1">
      <c r="B49" s="94" t="s">
        <v>148</v>
      </c>
      <c r="C49" s="92">
        <f>1/12</f>
        <v>0.08333333333333333</v>
      </c>
      <c r="D49" s="125">
        <v>0</v>
      </c>
      <c r="E49" s="152">
        <f>C49*D49*5/C8</f>
        <v>0</v>
      </c>
      <c r="F49" s="92">
        <f>1/12</f>
        <v>0.08333333333333333</v>
      </c>
      <c r="G49" s="123">
        <v>0</v>
      </c>
      <c r="H49" s="152">
        <f>F49*G49*11/F8</f>
        <v>0</v>
      </c>
      <c r="I49" s="92">
        <f>1/12</f>
        <v>0.08333333333333333</v>
      </c>
      <c r="J49" s="123"/>
      <c r="K49" s="152">
        <v>0</v>
      </c>
      <c r="L49" s="104">
        <f>(E49*$E$8)+(H49*$H$8)</f>
        <v>0</v>
      </c>
      <c r="M49" s="187">
        <f t="shared" si="4"/>
        <v>0</v>
      </c>
      <c r="N49" s="81"/>
    </row>
    <row r="50" spans="2:14" ht="15" customHeight="1">
      <c r="B50" s="95" t="s">
        <v>84</v>
      </c>
      <c r="C50" s="91">
        <v>0.0001</v>
      </c>
      <c r="D50" s="36">
        <f>'FROTA E CUSTOS'!F5</f>
        <v>555000</v>
      </c>
      <c r="E50" s="246">
        <f>C50*D50/$C$12</f>
        <v>0.012422207664592204</v>
      </c>
      <c r="F50" s="91">
        <v>0.0001</v>
      </c>
      <c r="G50" s="36">
        <f>D50</f>
        <v>555000</v>
      </c>
      <c r="H50" s="246">
        <f>F50*G50/$F$13</f>
        <v>0.010177035515832177</v>
      </c>
      <c r="I50" s="91">
        <v>0.0001</v>
      </c>
      <c r="J50" s="36">
        <f>G50</f>
        <v>555000</v>
      </c>
      <c r="K50" s="246">
        <f>I50*J50/$I$12</f>
        <v>0.014759542454183922</v>
      </c>
      <c r="L50" s="150">
        <f>(E50*$E$8)+(H50*$H$8)+(K50*$K$8)</f>
        <v>0.010958461807771457</v>
      </c>
      <c r="M50" s="188">
        <f t="shared" si="4"/>
        <v>0.001183389666450632</v>
      </c>
      <c r="N50" s="81"/>
    </row>
    <row r="51" spans="2:14" ht="15" customHeight="1">
      <c r="B51" s="95" t="s">
        <v>86</v>
      </c>
      <c r="C51" s="91">
        <f>((10-'FROTA E CUSTOS'!E29)/10)*0.01</f>
        <v>0.00382</v>
      </c>
      <c r="D51" s="125">
        <f>D48</f>
        <v>496916.2</v>
      </c>
      <c r="E51" s="130">
        <f>C51*D51/C13</f>
        <v>0.4041411479200786</v>
      </c>
      <c r="F51" s="90">
        <f>((10-'FROTA E CUSTOS'!D29)/10)*0.01</f>
        <v>0.004690000000000001</v>
      </c>
      <c r="G51" s="123">
        <f>G48</f>
        <v>543916.2</v>
      </c>
      <c r="H51" s="130">
        <f>F51*G51/F13</f>
        <v>0.4677708384652447</v>
      </c>
      <c r="I51" s="91">
        <f>((10-'FROTA E CUSTOS'!F29)/10)*0.01</f>
        <v>0.001</v>
      </c>
      <c r="J51" s="123">
        <f>J48</f>
        <v>1208010</v>
      </c>
      <c r="K51" s="130">
        <f>I51*J51/I12</f>
        <v>0.3212554032446616</v>
      </c>
      <c r="L51" s="150">
        <f>(E51*$E$8)+(H51*$H$8)+(K51*$K$8)</f>
        <v>0.4443306928067638</v>
      </c>
      <c r="M51" s="188">
        <f t="shared" si="4"/>
        <v>0.04798267855270337</v>
      </c>
      <c r="N51" s="81"/>
    </row>
    <row r="52" spans="2:14" ht="15" customHeight="1">
      <c r="B52" s="95" t="s">
        <v>87</v>
      </c>
      <c r="C52" s="91">
        <v>0.0004</v>
      </c>
      <c r="D52" s="36">
        <f>'FROTA E CUSTOS'!F5</f>
        <v>555000</v>
      </c>
      <c r="E52" s="130">
        <f>C52*D52/$C$12</f>
        <v>0.049688830658368814</v>
      </c>
      <c r="F52" s="91">
        <v>0.0004</v>
      </c>
      <c r="G52" s="36">
        <f>D52</f>
        <v>555000</v>
      </c>
      <c r="H52" s="130">
        <f>F52*G52/$F$13</f>
        <v>0.040708142063328706</v>
      </c>
      <c r="I52" s="91">
        <v>0.0004</v>
      </c>
      <c r="J52" s="36">
        <f>G52</f>
        <v>555000</v>
      </c>
      <c r="K52" s="130">
        <f>I52*J52/$I$12</f>
        <v>0.05903816981673569</v>
      </c>
      <c r="L52" s="150">
        <f>(E52*$E$8)+(H52*$H$8)+(K52*$K$8)</f>
        <v>0.043833847231085826</v>
      </c>
      <c r="M52" s="188">
        <f t="shared" si="4"/>
        <v>0.004733558665802528</v>
      </c>
      <c r="N52" s="81"/>
    </row>
    <row r="53" spans="2:14" ht="15" customHeight="1">
      <c r="B53" s="95" t="s">
        <v>88</v>
      </c>
      <c r="C53" s="91">
        <v>0.0003</v>
      </c>
      <c r="D53" s="36">
        <f>'FROTA E CUSTOS'!F5</f>
        <v>555000</v>
      </c>
      <c r="E53" s="130">
        <f>C53*D53/$C$12</f>
        <v>0.0372666229937766</v>
      </c>
      <c r="F53" s="91">
        <v>0.0003</v>
      </c>
      <c r="G53" s="36">
        <f>D53</f>
        <v>555000</v>
      </c>
      <c r="H53" s="130">
        <f>F53*G53/$F$13</f>
        <v>0.030531106547496526</v>
      </c>
      <c r="I53" s="91">
        <v>0.0003</v>
      </c>
      <c r="J53" s="36">
        <f>G53</f>
        <v>555000</v>
      </c>
      <c r="K53" s="130">
        <f>I53*J53/$I$12</f>
        <v>0.04427862736255176</v>
      </c>
      <c r="L53" s="86">
        <f>(E53*$E$8)+(H53*$H$8)+(K53*$K$8)</f>
        <v>0.03287538542331436</v>
      </c>
      <c r="M53" s="188">
        <f t="shared" si="4"/>
        <v>0.0035501689993518958</v>
      </c>
      <c r="N53" s="81"/>
    </row>
    <row r="54" spans="2:16" ht="9.75" customHeight="1">
      <c r="B54" s="9"/>
      <c r="C54" s="84"/>
      <c r="D54" s="84"/>
      <c r="E54" s="84"/>
      <c r="F54" s="84"/>
      <c r="G54" s="84"/>
      <c r="H54" s="84"/>
      <c r="I54" s="84"/>
      <c r="J54" s="84"/>
      <c r="K54" s="84"/>
      <c r="L54" s="9"/>
      <c r="M54" s="190"/>
      <c r="N54" s="81"/>
      <c r="P54" s="5"/>
    </row>
    <row r="55" spans="2:16" s="153" customFormat="1" ht="15" customHeight="1">
      <c r="B55" s="163" t="s">
        <v>89</v>
      </c>
      <c r="C55" s="164"/>
      <c r="D55" s="165"/>
      <c r="E55" s="166">
        <f>E45+E47</f>
        <v>7.037187962265772</v>
      </c>
      <c r="F55" s="167"/>
      <c r="G55" s="168"/>
      <c r="H55" s="166">
        <f>H45+H47</f>
        <v>9.27765980625742</v>
      </c>
      <c r="I55" s="167"/>
      <c r="J55" s="168"/>
      <c r="K55" s="166">
        <f>K45+K47</f>
        <v>14.510652298481979</v>
      </c>
      <c r="L55" s="169">
        <f>(E55*$E$8)+(H55*$H$8)+(K55*$K$8)</f>
        <v>9.260231112748706</v>
      </c>
      <c r="M55" s="192">
        <f>L55/L55</f>
        <v>1</v>
      </c>
      <c r="O55" s="153">
        <f>H55-E55</f>
        <v>2.2404718439916476</v>
      </c>
      <c r="P55" s="250">
        <f>O55/E55</f>
        <v>0.31837601269218907</v>
      </c>
    </row>
    <row r="56" spans="2:16" ht="9.75" customHeight="1">
      <c r="B56" s="9"/>
      <c r="C56" s="84"/>
      <c r="D56" s="84"/>
      <c r="E56" s="84"/>
      <c r="F56" s="84"/>
      <c r="G56" s="84"/>
      <c r="H56" s="84"/>
      <c r="I56" s="84"/>
      <c r="J56" s="84"/>
      <c r="K56" s="84"/>
      <c r="L56" s="170"/>
      <c r="M56" s="193"/>
      <c r="N56" s="81"/>
      <c r="P56" s="5"/>
    </row>
    <row r="57" spans="2:14" ht="15" customHeight="1">
      <c r="B57" s="177" t="s">
        <v>92</v>
      </c>
      <c r="C57" s="558"/>
      <c r="D57" s="559"/>
      <c r="E57" s="559"/>
      <c r="F57" s="559"/>
      <c r="G57" s="559"/>
      <c r="H57" s="559"/>
      <c r="I57" s="559"/>
      <c r="J57" s="559"/>
      <c r="K57" s="560"/>
      <c r="L57" s="178">
        <f>(L55/0.95)-L55</f>
        <v>0.48738058488151204</v>
      </c>
      <c r="M57" s="194">
        <f>L57/$L$55</f>
        <v>0.05263157894736855</v>
      </c>
      <c r="N57" s="81"/>
    </row>
    <row r="58" spans="2:14" ht="15" customHeight="1">
      <c r="B58" s="179" t="s">
        <v>9</v>
      </c>
      <c r="C58" s="180" t="s">
        <v>106</v>
      </c>
      <c r="D58" s="200">
        <v>0</v>
      </c>
      <c r="E58" s="182"/>
      <c r="F58" s="183" t="s">
        <v>67</v>
      </c>
      <c r="G58" s="181">
        <v>0.02</v>
      </c>
      <c r="H58" s="182"/>
      <c r="I58" s="180" t="s">
        <v>66</v>
      </c>
      <c r="J58" s="200">
        <v>0.02</v>
      </c>
      <c r="K58" s="182"/>
      <c r="L58" s="184">
        <f>L60-L57-L55</f>
        <v>0.40615048740125914</v>
      </c>
      <c r="M58" s="195">
        <f>L58/$L$55</f>
        <v>0.04385964912280703</v>
      </c>
      <c r="N58" s="81"/>
    </row>
    <row r="59" spans="2:14" ht="9.75" customHeight="1">
      <c r="B59" s="171"/>
      <c r="C59" s="172"/>
      <c r="D59" s="62"/>
      <c r="E59" s="62"/>
      <c r="F59" s="62"/>
      <c r="G59" s="62"/>
      <c r="H59" s="62"/>
      <c r="I59" s="62"/>
      <c r="J59" s="62"/>
      <c r="K59" s="62"/>
      <c r="L59" s="173"/>
      <c r="M59" s="174"/>
      <c r="N59" s="81"/>
    </row>
    <row r="60" spans="2:13" s="153" customFormat="1" ht="15" customHeight="1">
      <c r="B60" s="175" t="s">
        <v>107</v>
      </c>
      <c r="C60" s="550"/>
      <c r="D60" s="551"/>
      <c r="E60" s="551"/>
      <c r="F60" s="551"/>
      <c r="G60" s="551"/>
      <c r="H60" s="551"/>
      <c r="I60" s="551"/>
      <c r="J60" s="551"/>
      <c r="K60" s="552"/>
      <c r="L60" s="553">
        <f>(L55+L57)/(1-D58-G58-J58)</f>
        <v>10.153762185031477</v>
      </c>
      <c r="M60" s="554"/>
    </row>
    <row r="61" spans="2:13" s="153" customFormat="1" ht="15" customHeight="1">
      <c r="B61" s="176" t="s">
        <v>68</v>
      </c>
      <c r="C61" s="543"/>
      <c r="D61" s="544"/>
      <c r="E61" s="544"/>
      <c r="F61" s="544"/>
      <c r="G61" s="544"/>
      <c r="H61" s="544"/>
      <c r="I61" s="544"/>
      <c r="J61" s="544"/>
      <c r="K61" s="545"/>
      <c r="L61" s="546">
        <f>L15/L8</f>
        <v>1.6920905346787942</v>
      </c>
      <c r="M61" s="547"/>
    </row>
    <row r="62" spans="2:16" ht="9.75" customHeight="1" thickBot="1">
      <c r="B62" s="9"/>
      <c r="C62" s="84"/>
      <c r="D62" s="84"/>
      <c r="E62" s="84"/>
      <c r="F62" s="84"/>
      <c r="G62" s="84"/>
      <c r="H62" s="84"/>
      <c r="I62" s="84"/>
      <c r="J62" s="84"/>
      <c r="K62" s="84"/>
      <c r="L62" s="9"/>
      <c r="M62" s="9"/>
      <c r="N62" s="81"/>
      <c r="P62" s="5"/>
    </row>
    <row r="63" spans="2:14" ht="19.5" customHeight="1" thickBot="1">
      <c r="B63" s="381" t="s">
        <v>93</v>
      </c>
      <c r="C63" s="531"/>
      <c r="D63" s="531"/>
      <c r="E63" s="531"/>
      <c r="F63" s="531"/>
      <c r="G63" s="531"/>
      <c r="H63" s="531"/>
      <c r="I63" s="531"/>
      <c r="J63" s="531"/>
      <c r="K63" s="531"/>
      <c r="L63" s="541">
        <f>L60/L61</f>
        <v>6.0007203970081555</v>
      </c>
      <c r="M63" s="542"/>
      <c r="N63" s="81"/>
    </row>
    <row r="64" ht="11.25">
      <c r="N64" s="227"/>
    </row>
    <row r="65" spans="9:14" ht="11.25">
      <c r="I65" s="577"/>
      <c r="J65" s="577"/>
      <c r="K65" s="577"/>
      <c r="L65" s="577"/>
      <c r="M65" s="577"/>
      <c r="N65" s="261"/>
    </row>
    <row r="66" spans="11:13" ht="11.25">
      <c r="K66" s="363"/>
      <c r="L66" s="202"/>
      <c r="M66" s="324"/>
    </row>
    <row r="67" spans="11:13" ht="11.25">
      <c r="K67" s="363"/>
      <c r="L67" s="202"/>
      <c r="M67" s="274"/>
    </row>
    <row r="68" spans="11:12" ht="11.25">
      <c r="K68" s="227"/>
      <c r="L68" s="306"/>
    </row>
  </sheetData>
  <sheetProtection/>
  <mergeCells count="56">
    <mergeCell ref="C6:E6"/>
    <mergeCell ref="I6:K6"/>
    <mergeCell ref="L6:M6"/>
    <mergeCell ref="C14:E14"/>
    <mergeCell ref="F14:H14"/>
    <mergeCell ref="I14:K14"/>
    <mergeCell ref="I8:J8"/>
    <mergeCell ref="I7:K7"/>
    <mergeCell ref="C8:D8"/>
    <mergeCell ref="I65:M65"/>
    <mergeCell ref="C4:E4"/>
    <mergeCell ref="F4:H4"/>
    <mergeCell ref="I4:K4"/>
    <mergeCell ref="I13:K13"/>
    <mergeCell ref="I11:K11"/>
    <mergeCell ref="C5:E5"/>
    <mergeCell ref="C7:E7"/>
    <mergeCell ref="F5:H5"/>
    <mergeCell ref="F7:H7"/>
    <mergeCell ref="B2:M2"/>
    <mergeCell ref="L4:M4"/>
    <mergeCell ref="L8:M8"/>
    <mergeCell ref="B15:K15"/>
    <mergeCell ref="C11:E11"/>
    <mergeCell ref="C13:E13"/>
    <mergeCell ref="F11:H11"/>
    <mergeCell ref="I5:K5"/>
    <mergeCell ref="L5:M5"/>
    <mergeCell ref="L7:M7"/>
    <mergeCell ref="F8:G8"/>
    <mergeCell ref="L11:M11"/>
    <mergeCell ref="L13:M13"/>
    <mergeCell ref="F13:H13"/>
    <mergeCell ref="I10:J10"/>
    <mergeCell ref="F10:G10"/>
    <mergeCell ref="I12:K12"/>
    <mergeCell ref="C9:D9"/>
    <mergeCell ref="C10:D10"/>
    <mergeCell ref="C12:E12"/>
    <mergeCell ref="C60:K60"/>
    <mergeCell ref="L60:M60"/>
    <mergeCell ref="B17:B18"/>
    <mergeCell ref="L17:M17"/>
    <mergeCell ref="C57:K57"/>
    <mergeCell ref="C17:E17"/>
    <mergeCell ref="F17:H17"/>
    <mergeCell ref="C63:K63"/>
    <mergeCell ref="F9:G9"/>
    <mergeCell ref="L15:M15"/>
    <mergeCell ref="I9:J9"/>
    <mergeCell ref="I17:K17"/>
    <mergeCell ref="L9:M9"/>
    <mergeCell ref="L10:M10"/>
    <mergeCell ref="L63:M63"/>
    <mergeCell ref="C61:K61"/>
    <mergeCell ref="L61:M61"/>
  </mergeCell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80" r:id="rId3"/>
  <headerFooter alignWithMargins="0">
    <oddHeader>&amp;C&amp;A</oddHeader>
    <oddFooter>&amp;CPágina &amp;P de &amp;N</oddFooter>
  </headerFooter>
  <ignoredErrors>
    <ignoredError sqref="H24 E51 H51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0" sqref="E20"/>
    </sheetView>
  </sheetViews>
  <sheetFormatPr defaultColWidth="9.00390625" defaultRowHeight="12.75"/>
  <cols>
    <col min="1" max="1" width="30.375" style="0" customWidth="1"/>
    <col min="2" max="2" width="12.50390625" style="0" customWidth="1"/>
    <col min="3" max="3" width="8.875" style="0" customWidth="1"/>
    <col min="4" max="4" width="9.50390625" style="232" customWidth="1"/>
    <col min="5" max="5" width="15.625" style="0" customWidth="1"/>
    <col min="6" max="6" width="19.75390625" style="0" customWidth="1"/>
    <col min="7" max="7" width="10.875" style="0" customWidth="1"/>
  </cols>
  <sheetData>
    <row r="1" spans="1:6" ht="12.75">
      <c r="A1" s="81"/>
      <c r="B1" s="592" t="s">
        <v>147</v>
      </c>
      <c r="C1" s="592"/>
      <c r="D1" s="592"/>
      <c r="E1" s="592"/>
      <c r="F1" s="592"/>
    </row>
    <row r="2" spans="1:6" ht="15.75">
      <c r="A2" s="214"/>
      <c r="B2" s="213" t="s">
        <v>136</v>
      </c>
      <c r="C2" s="204" t="s">
        <v>137</v>
      </c>
      <c r="D2" s="229" t="s">
        <v>133</v>
      </c>
      <c r="E2" s="211" t="s">
        <v>134</v>
      </c>
      <c r="F2" s="211" t="s">
        <v>135</v>
      </c>
    </row>
    <row r="3" spans="1:6" ht="15.75">
      <c r="A3" s="163" t="s">
        <v>82</v>
      </c>
      <c r="B3" s="213"/>
      <c r="C3" s="204"/>
      <c r="D3" s="213"/>
      <c r="E3" s="213"/>
      <c r="F3" s="213"/>
    </row>
    <row r="4" spans="1:6" ht="15.75">
      <c r="A4" s="215" t="s">
        <v>131</v>
      </c>
      <c r="B4" s="216">
        <f>'TÁRIFA '!L21</f>
        <v>0</v>
      </c>
      <c r="C4" s="217">
        <f>B4/$B$46</f>
        <v>0</v>
      </c>
      <c r="D4" s="230">
        <f>C4*'TÁRIFA '!$L$63</f>
        <v>0</v>
      </c>
      <c r="E4" s="218">
        <f>D4*'TÁRIFA '!$L$15</f>
        <v>0</v>
      </c>
      <c r="F4" s="218">
        <f>E4*'TÁRIFA '!$T$17</f>
        <v>0</v>
      </c>
    </row>
    <row r="5" spans="1:6" ht="15.75">
      <c r="A5" s="215" t="s">
        <v>132</v>
      </c>
      <c r="B5" s="216">
        <f>'TÁRIFA '!L22</f>
        <v>2.3145062437241988</v>
      </c>
      <c r="C5" s="217">
        <f>B5/$B$46</f>
        <v>0.22794568176278632</v>
      </c>
      <c r="D5" s="230">
        <f>C5*'TÁRIFA '!$L$63</f>
        <v>1.3678383019638818</v>
      </c>
      <c r="E5" s="218">
        <f>D5*'TÁRIFA '!$L$15</f>
        <v>2238902.1257708664</v>
      </c>
      <c r="F5" s="218">
        <f>E5*'TÁRIFA '!$T$17</f>
        <v>26866825.509250395</v>
      </c>
    </row>
    <row r="6" spans="1:6" ht="15.75">
      <c r="A6" s="215" t="s">
        <v>130</v>
      </c>
      <c r="B6" s="216">
        <f>'TÁRIFA '!L23</f>
        <v>0.06393558634869215</v>
      </c>
      <c r="C6" s="217">
        <f aca="true" t="shared" si="0" ref="C6:C11">B6/$B$46</f>
        <v>0.006296738606203031</v>
      </c>
      <c r="D6" s="230">
        <f>C6*'TÁRIFA '!$L$63</f>
        <v>0.037784967788871235</v>
      </c>
      <c r="E6" s="218">
        <f>D6*'TÁRIFA '!$L$15</f>
        <v>61847.10910875</v>
      </c>
      <c r="F6" s="218">
        <f>E6*'TÁRIFA '!$T$17</f>
        <v>742165.309305</v>
      </c>
    </row>
    <row r="7" spans="1:6" ht="15.75">
      <c r="A7" s="215" t="s">
        <v>0</v>
      </c>
      <c r="B7" s="216">
        <f>'TÁRIFA '!L24</f>
        <v>0.11892209150364455</v>
      </c>
      <c r="C7" s="217">
        <f t="shared" si="0"/>
        <v>0.011712121018449468</v>
      </c>
      <c r="D7" s="230">
        <f>C7*'TÁRIFA '!$L$63</f>
        <v>0.07028116348763766</v>
      </c>
      <c r="E7" s="218">
        <f>D7*'TÁRIFA '!$L$15</f>
        <v>115037.46174398085</v>
      </c>
      <c r="F7" s="218">
        <f>E7*'TÁRIFA '!$T$17</f>
        <v>1380449.54092777</v>
      </c>
    </row>
    <row r="8" spans="1:6" ht="15.75">
      <c r="A8" s="219" t="s">
        <v>61</v>
      </c>
      <c r="B8" s="216">
        <f>'TÁRIFA '!L25</f>
        <v>0.09735322146695868</v>
      </c>
      <c r="C8" s="217">
        <f t="shared" si="0"/>
        <v>0.009587896554291505</v>
      </c>
      <c r="D8" s="230">
        <f>C8*'TÁRIFA '!$L$63</f>
        <v>0.05753428641774125</v>
      </c>
      <c r="E8" s="218">
        <f>D8*'TÁRIFA '!$L$15</f>
        <v>94173.14603666666</v>
      </c>
      <c r="F8" s="218">
        <f>E8*'TÁRIFA '!$T$17</f>
        <v>1130077.75244</v>
      </c>
    </row>
    <row r="9" spans="1:6" ht="15.75">
      <c r="A9" s="219" t="s">
        <v>62</v>
      </c>
      <c r="B9" s="216">
        <f>'TÁRIFA '!L26</f>
        <v>0.0148011966000375</v>
      </c>
      <c r="C9" s="217">
        <f t="shared" si="0"/>
        <v>0.001457705659273486</v>
      </c>
      <c r="D9" s="230">
        <f>C9*'TÁRIFA '!$L$63</f>
        <v>0.008747284082436628</v>
      </c>
      <c r="E9" s="218">
        <f>D9*'TÁRIFA '!$L$15</f>
        <v>14317.710579365075</v>
      </c>
      <c r="F9" s="218">
        <f>E9*'TÁRIFA '!$T$17</f>
        <v>171812.5269523809</v>
      </c>
    </row>
    <row r="10" spans="1:6" ht="15.75">
      <c r="A10" s="219" t="s">
        <v>63</v>
      </c>
      <c r="B10" s="216">
        <f>'TÁRIFA '!L27</f>
        <v>0.06851035993452406</v>
      </c>
      <c r="C10" s="217">
        <f t="shared" si="0"/>
        <v>0.00674728821554645</v>
      </c>
      <c r="D10" s="230">
        <f>C10*'TÁRIFA '!$L$63</f>
        <v>0.04048859001952235</v>
      </c>
      <c r="E10" s="218">
        <f>D10*'TÁRIFA '!$L$15</f>
        <v>66272.44619047618</v>
      </c>
      <c r="F10" s="218">
        <f>E10*'TÁRIFA '!$T$17</f>
        <v>795269.3542857142</v>
      </c>
    </row>
    <row r="11" spans="1:6" ht="15.75">
      <c r="A11" s="219" t="s">
        <v>64</v>
      </c>
      <c r="B11" s="216">
        <f>'TÁRIFA '!L28</f>
        <v>0.010162402367959716</v>
      </c>
      <c r="C11" s="217">
        <f t="shared" si="0"/>
        <v>0.0010008509341435017</v>
      </c>
      <c r="D11" s="230">
        <f>C11*'TÁRIFA '!$L$63</f>
        <v>0.006005826614879577</v>
      </c>
      <c r="E11" s="218">
        <f>D11*'TÁRIFA '!$L$15</f>
        <v>9830.444107142856</v>
      </c>
      <c r="F11" s="218">
        <f>E11*'TÁRIFA '!$T$17</f>
        <v>117965.32928571427</v>
      </c>
    </row>
    <row r="12" spans="1:6" ht="15.75">
      <c r="A12" s="234" t="s">
        <v>138</v>
      </c>
      <c r="B12" s="235">
        <f>SUM(B4:B11)</f>
        <v>2.6881911019460154</v>
      </c>
      <c r="C12" s="236">
        <f>SUM(C4:C11)</f>
        <v>0.26474828275069373</v>
      </c>
      <c r="D12" s="237">
        <f>SUM(D4:D11)</f>
        <v>1.5886804203749705</v>
      </c>
      <c r="E12" s="238">
        <f>SUM(E4:E11)</f>
        <v>2600380.443537248</v>
      </c>
      <c r="F12" s="238">
        <f>SUM(F4:F11)</f>
        <v>31204565.322446976</v>
      </c>
    </row>
    <row r="13" spans="1:6" ht="15.75">
      <c r="A13" s="9"/>
      <c r="B13" s="213"/>
      <c r="C13" s="204"/>
      <c r="D13" s="231"/>
      <c r="E13" s="205"/>
      <c r="F13" s="206"/>
    </row>
    <row r="14" spans="1:6" ht="15.75">
      <c r="A14" s="163" t="s">
        <v>83</v>
      </c>
      <c r="B14" s="213" t="s">
        <v>116</v>
      </c>
      <c r="C14" s="204" t="s">
        <v>116</v>
      </c>
      <c r="D14" s="231" t="s">
        <v>116</v>
      </c>
      <c r="E14" s="205" t="s">
        <v>116</v>
      </c>
      <c r="F14" s="207"/>
    </row>
    <row r="15" spans="1:6" ht="15.75">
      <c r="A15" s="220" t="s">
        <v>3</v>
      </c>
      <c r="B15" s="221">
        <f>'TÁRIFA '!L31</f>
        <v>0.5725604524321813</v>
      </c>
      <c r="C15" s="222">
        <f aca="true" t="shared" si="1" ref="C15:C23">B15/$B$46</f>
        <v>0.056388995723795986</v>
      </c>
      <c r="D15" s="228">
        <f>C15*'TÁRIFA '!$L$63</f>
        <v>0.3383745968065882</v>
      </c>
      <c r="E15" s="223">
        <f>D15*'TÁRIFA '!$L$15</f>
        <v>553857.5743999999</v>
      </c>
      <c r="F15" s="223">
        <f>E15*'TÁRIFA '!$T$17</f>
        <v>6646290.8928</v>
      </c>
    </row>
    <row r="16" spans="1:6" ht="15.75">
      <c r="A16" s="224" t="s">
        <v>4</v>
      </c>
      <c r="B16" s="221">
        <f>'TÁRIFA '!L32</f>
        <v>1.4836457926148938</v>
      </c>
      <c r="C16" s="222">
        <f t="shared" si="1"/>
        <v>0.14611783943512702</v>
      </c>
      <c r="D16" s="228">
        <f>C16*'TÁRIFA '!$L$63</f>
        <v>0.8768122994651293</v>
      </c>
      <c r="E16" s="223">
        <f>D16*'TÁRIFA '!$L$15</f>
        <v>1435182.0082505306</v>
      </c>
      <c r="F16" s="223">
        <f>E16*'TÁRIFA '!$T$17</f>
        <v>17222184.099006366</v>
      </c>
    </row>
    <row r="17" spans="1:6" ht="15.75">
      <c r="A17" s="224" t="s">
        <v>5</v>
      </c>
      <c r="B17" s="221">
        <f>'TÁRIFA '!L33</f>
        <v>0.8079591216339248</v>
      </c>
      <c r="C17" s="222">
        <f t="shared" si="1"/>
        <v>0.07957238971235765</v>
      </c>
      <c r="D17" s="228">
        <f>C17*'TÁRIFA '!$L$63</f>
        <v>0.4774916619856265</v>
      </c>
      <c r="E17" s="223">
        <f>D17*'TÁRIFA '!$L$15</f>
        <v>781566.8676060454</v>
      </c>
      <c r="F17" s="223">
        <f>E17*'TÁRIFA '!$T$17</f>
        <v>9378802.411272544</v>
      </c>
    </row>
    <row r="18" spans="1:6" ht="15.75">
      <c r="A18" s="224" t="s">
        <v>65</v>
      </c>
      <c r="B18" s="221">
        <f>'TÁRIFA '!L34</f>
        <v>0.09701444791288778</v>
      </c>
      <c r="C18" s="222">
        <f t="shared" si="1"/>
        <v>0.009554532216236561</v>
      </c>
      <c r="D18" s="228">
        <f>C18*'TÁRIFA '!$L$63</f>
        <v>0.057334076353842266</v>
      </c>
      <c r="E18" s="223">
        <f>D18*'TÁRIFA '!$L$15</f>
        <v>93845.43863366399</v>
      </c>
      <c r="F18" s="223">
        <f>E18*'TÁRIFA '!$T$17</f>
        <v>1126145.2636039678</v>
      </c>
    </row>
    <row r="19" spans="1:6" ht="15.75">
      <c r="A19" s="220" t="s">
        <v>6</v>
      </c>
      <c r="B19" s="221">
        <f>'TÁRIFA '!L35</f>
        <v>0.3224636138918304</v>
      </c>
      <c r="C19" s="222">
        <f t="shared" si="1"/>
        <v>0.031758042784102374</v>
      </c>
      <c r="D19" s="228">
        <f>C19*'TÁRIFA '!$L$63</f>
        <v>0.19057113510362078</v>
      </c>
      <c r="E19" s="223">
        <f>D19*'TÁRIFA '!$L$15</f>
        <v>311930.2324561825</v>
      </c>
      <c r="F19" s="223">
        <f>E19*'TÁRIFA '!$T$17</f>
        <v>3743162.7894741897</v>
      </c>
    </row>
    <row r="20" spans="1:6" ht="15.75">
      <c r="A20" s="220" t="s">
        <v>48</v>
      </c>
      <c r="B20" s="221">
        <f>'TÁRIFA '!L36</f>
        <v>1.0900053893792014</v>
      </c>
      <c r="C20" s="222">
        <f t="shared" si="1"/>
        <v>0.10734990336745044</v>
      </c>
      <c r="D20" s="228">
        <f>C20*'TÁRIFA '!$L$63</f>
        <v>0.6441767547539143</v>
      </c>
      <c r="E20" s="223">
        <f>D20*'TÁRIFA '!$L$15</f>
        <v>1054400</v>
      </c>
      <c r="F20" s="223">
        <f>E20*'TÁRIFA '!$T$17</f>
        <v>12652800</v>
      </c>
    </row>
    <row r="21" spans="1:6" ht="15.75">
      <c r="A21" s="220" t="s">
        <v>7</v>
      </c>
      <c r="B21" s="221">
        <f>'TÁRIFA '!L37</f>
        <v>0.01712549287794021</v>
      </c>
      <c r="C21" s="222">
        <f t="shared" si="1"/>
        <v>0.0016866155190424247</v>
      </c>
      <c r="D21" s="228">
        <f>C21*'TÁRIFA '!$L$63</f>
        <v>0.010120908147028375</v>
      </c>
      <c r="E21" s="223">
        <f>D21*'TÁRIFA '!$L$15</f>
        <v>16566.082944584665</v>
      </c>
      <c r="F21" s="223">
        <f>E21*'TÁRIFA '!$T$17</f>
        <v>198792.995335016</v>
      </c>
    </row>
    <row r="22" spans="1:6" ht="15.75">
      <c r="A22" s="220" t="s">
        <v>8</v>
      </c>
      <c r="B22" s="221">
        <f>'TÁRIFA '!L38</f>
        <v>0</v>
      </c>
      <c r="C22" s="222">
        <f>B22/$B$46</f>
        <v>0</v>
      </c>
      <c r="D22" s="228">
        <f>C22*'TÁRIFA '!$L$63</f>
        <v>0</v>
      </c>
      <c r="E22" s="223">
        <f>D22*'TÁRIFA '!$L$15</f>
        <v>0</v>
      </c>
      <c r="F22" s="223">
        <f>E22*'TÁRIFA '!$T$17</f>
        <v>0</v>
      </c>
    </row>
    <row r="23" spans="1:6" ht="15.75">
      <c r="A23" s="220" t="s">
        <v>80</v>
      </c>
      <c r="B23" s="221">
        <f>'TÁRIFA '!L39</f>
        <v>0.028809730276043725</v>
      </c>
      <c r="C23" s="222">
        <f t="shared" si="1"/>
        <v>0.00283734538499578</v>
      </c>
      <c r="D23" s="228">
        <f>C23*'TÁRIFA '!$L$63</f>
        <v>0.017026116325101134</v>
      </c>
      <c r="E23" s="223">
        <f>D23*'TÁRIFA '!$L$15</f>
        <v>27868.650833333333</v>
      </c>
      <c r="F23" s="223">
        <f>E23*'TÁRIFA '!$T$17</f>
        <v>334423.81</v>
      </c>
    </row>
    <row r="24" spans="1:6" ht="15.75">
      <c r="A24" s="220" t="s">
        <v>81</v>
      </c>
      <c r="B24" s="221">
        <f>'TÁRIFA '!L40</f>
        <v>0</v>
      </c>
      <c r="C24" s="222">
        <f>B24/$B$46</f>
        <v>0</v>
      </c>
      <c r="D24" s="228">
        <f>C24*'TÁRIFA '!$L$63</f>
        <v>0</v>
      </c>
      <c r="E24" s="223">
        <f>D24*'TÁRIFA '!$L$15</f>
        <v>0</v>
      </c>
      <c r="F24" s="223">
        <f>E24*'TÁRIFA '!$T$17</f>
        <v>0</v>
      </c>
    </row>
    <row r="25" spans="1:6" ht="15.75">
      <c r="A25" s="220" t="s">
        <v>12</v>
      </c>
      <c r="B25" s="221">
        <f>'TÁRIFA '!L41</f>
        <v>0.2508050330269792</v>
      </c>
      <c r="C25" s="222">
        <f>B25/$B$46</f>
        <v>0.024700699943190733</v>
      </c>
      <c r="D25" s="228">
        <f>C25*'TÁRIFA '!$L$63</f>
        <v>0.14822199396948282</v>
      </c>
      <c r="E25" s="223">
        <f>D25*'TÁRIFA '!$L$15</f>
        <v>242612.40302147527</v>
      </c>
      <c r="F25" s="223">
        <f>E25*'TÁRIFA '!$T$17</f>
        <v>2911348.836257703</v>
      </c>
    </row>
    <row r="26" spans="1:6" ht="15.75">
      <c r="A26" s="220" t="s">
        <v>10</v>
      </c>
      <c r="B26" s="221">
        <f>'TÁRIFA '!L42</f>
        <v>0.3616292396564581</v>
      </c>
      <c r="C26" s="222">
        <f>B26/$B$46</f>
        <v>0.03561529540149822</v>
      </c>
      <c r="D26" s="228">
        <f>C26*'TÁRIFA '!$L$63</f>
        <v>0.21371742956124115</v>
      </c>
      <c r="E26" s="223">
        <f>D26*'TÁRIFA '!$L$15</f>
        <v>349816.5</v>
      </c>
      <c r="F26" s="223">
        <f>E26*'TÁRIFA '!$T$17</f>
        <v>4197798</v>
      </c>
    </row>
    <row r="27" spans="1:6" ht="15.75">
      <c r="A27" s="220" t="s">
        <v>11</v>
      </c>
      <c r="B27" s="221">
        <f>'TÁRIFA '!L43</f>
        <v>0.17071115261178135</v>
      </c>
      <c r="C27" s="222">
        <f>B27/$B$46</f>
        <v>0.016812601034072</v>
      </c>
      <c r="D27" s="228">
        <f>C27*'TÁRIFA '!$L$63</f>
        <v>0.10088771795191626</v>
      </c>
      <c r="E27" s="223">
        <f>D27*'TÁRIFA '!$L$15</f>
        <v>165134.815908</v>
      </c>
      <c r="F27" s="223">
        <f>E27*'TÁRIFA '!$T$17</f>
        <v>1981617.7908959999</v>
      </c>
    </row>
    <row r="28" spans="1:6" ht="15.75">
      <c r="A28" s="234" t="s">
        <v>139</v>
      </c>
      <c r="B28" s="235">
        <f>SUM(B15:B27)</f>
        <v>5.202729466314123</v>
      </c>
      <c r="C28" s="236">
        <f>SUM(C15:C27)</f>
        <v>0.5123942605218692</v>
      </c>
      <c r="D28" s="237">
        <f>SUM(D15:D27)</f>
        <v>3.0747346904234907</v>
      </c>
      <c r="E28" s="238">
        <f>SUM(E15:E27)</f>
        <v>5032780.574053816</v>
      </c>
      <c r="F28" s="238">
        <f>SUM(F15:F27)</f>
        <v>60393366.88864578</v>
      </c>
    </row>
    <row r="29" spans="1:6" ht="15.75">
      <c r="A29" s="9"/>
      <c r="B29" s="213"/>
      <c r="C29" s="204"/>
      <c r="D29" s="231"/>
      <c r="E29" s="205"/>
      <c r="F29" s="206"/>
    </row>
    <row r="30" spans="1:6" ht="15.75">
      <c r="A30" s="163" t="s">
        <v>90</v>
      </c>
      <c r="B30" s="213">
        <f>B28+B12</f>
        <v>7.890920568260139</v>
      </c>
      <c r="C30" s="204">
        <f>C28+C12</f>
        <v>0.7771425432725629</v>
      </c>
      <c r="D30" s="213">
        <f>D28+D12</f>
        <v>4.663415110798461</v>
      </c>
      <c r="E30" s="240">
        <f>E28+E12</f>
        <v>7633161.017591063</v>
      </c>
      <c r="F30" s="240">
        <f>F28+F12</f>
        <v>91597932.21109276</v>
      </c>
    </row>
    <row r="31" spans="1:6" ht="15.75">
      <c r="A31" s="9"/>
      <c r="B31" s="213" t="s">
        <v>116</v>
      </c>
      <c r="C31" s="204" t="s">
        <v>116</v>
      </c>
      <c r="D31" s="231" t="s">
        <v>116</v>
      </c>
      <c r="E31" s="205"/>
      <c r="F31" s="206"/>
    </row>
    <row r="32" spans="1:6" ht="15.75">
      <c r="A32" s="163" t="s">
        <v>91</v>
      </c>
      <c r="B32" s="213" t="s">
        <v>116</v>
      </c>
      <c r="C32" s="204" t="s">
        <v>116</v>
      </c>
      <c r="D32" s="231" t="s">
        <v>116</v>
      </c>
      <c r="E32" s="205"/>
      <c r="F32" s="207"/>
    </row>
    <row r="33" spans="1:6" ht="15.75">
      <c r="A33" s="215" t="s">
        <v>85</v>
      </c>
      <c r="B33" s="216">
        <f>'TÁRIFA '!L48</f>
        <v>0.8373121572196316</v>
      </c>
      <c r="C33" s="217">
        <f aca="true" t="shared" si="2" ref="C33:C38">B33/$B$46</f>
        <v>0.08246324288094757</v>
      </c>
      <c r="D33" s="230">
        <f>C33*'TÁRIFA '!$L$63</f>
        <v>0.49483886355913964</v>
      </c>
      <c r="E33" s="218">
        <f>D33*'TÁRIFA '!$L$15</f>
        <v>809961.0764999999</v>
      </c>
      <c r="F33" s="218">
        <f>E33*'TÁRIFA '!$T$17</f>
        <v>9719532.917999998</v>
      </c>
    </row>
    <row r="34" spans="1:6" ht="15.75">
      <c r="A34" s="215" t="s">
        <v>150</v>
      </c>
      <c r="B34" s="216">
        <f>'TÁRIFA '!L49</f>
        <v>0</v>
      </c>
      <c r="C34" s="217">
        <f t="shared" si="2"/>
        <v>0</v>
      </c>
      <c r="D34" s="230">
        <f>C34*'TÁRIFA '!$L$63</f>
        <v>0</v>
      </c>
      <c r="E34" s="218">
        <f>D34*'TÁRIFA '!$L$15</f>
        <v>0</v>
      </c>
      <c r="F34" s="218">
        <f>E34*'TÁRIFA '!$T$17</f>
        <v>0</v>
      </c>
    </row>
    <row r="35" spans="1:6" ht="15.75">
      <c r="A35" s="215" t="s">
        <v>84</v>
      </c>
      <c r="B35" s="216">
        <f>'TÁRIFA '!L50</f>
        <v>0.010958461807771457</v>
      </c>
      <c r="C35" s="217">
        <f t="shared" si="2"/>
        <v>0.0010792513758029764</v>
      </c>
      <c r="D35" s="230">
        <f>C35*'TÁRIFA '!$L$63</f>
        <v>0.006476285744280035</v>
      </c>
      <c r="E35" s="218">
        <f>D35*'TÁRIFA '!$L$15</f>
        <v>10600.5</v>
      </c>
      <c r="F35" s="218">
        <f>E35*'TÁRIFA '!$T$17</f>
        <v>127206</v>
      </c>
    </row>
    <row r="36" spans="1:6" ht="15.75">
      <c r="A36" s="215" t="s">
        <v>86</v>
      </c>
      <c r="B36" s="216">
        <f>'TÁRIFA '!L51</f>
        <v>0.4443306928067638</v>
      </c>
      <c r="C36" s="217">
        <f t="shared" si="2"/>
        <v>0.04376020284006547</v>
      </c>
      <c r="D36" s="230">
        <f>C36*'TÁRIFA '!$L$63</f>
        <v>0.26259274175959507</v>
      </c>
      <c r="E36" s="218">
        <f>D36*'TÁRIFA '!$L$15</f>
        <v>429816.4826159999</v>
      </c>
      <c r="F36" s="218">
        <f>E36*'TÁRIFA '!$T$17</f>
        <v>5157797.7913919985</v>
      </c>
    </row>
    <row r="37" spans="1:6" ht="15.75">
      <c r="A37" s="215" t="s">
        <v>87</v>
      </c>
      <c r="B37" s="216">
        <f>'TÁRIFA '!L52</f>
        <v>0.043833847231085826</v>
      </c>
      <c r="C37" s="217">
        <f t="shared" si="2"/>
        <v>0.004317005503211906</v>
      </c>
      <c r="D37" s="230">
        <f>C37*'TÁRIFA '!$L$63</f>
        <v>0.02590514297712014</v>
      </c>
      <c r="E37" s="218">
        <f>D37*'TÁRIFA '!$L$15</f>
        <v>42402</v>
      </c>
      <c r="F37" s="218">
        <f>E37*'TÁRIFA '!$T$17</f>
        <v>508824</v>
      </c>
    </row>
    <row r="38" spans="1:6" ht="15.75">
      <c r="A38" s="215" t="s">
        <v>88</v>
      </c>
      <c r="B38" s="216">
        <f>'TÁRIFA '!L53</f>
        <v>0.03287538542331436</v>
      </c>
      <c r="C38" s="217">
        <f t="shared" si="2"/>
        <v>0.0032377541274089283</v>
      </c>
      <c r="D38" s="230">
        <f>C38*'TÁRIFA '!$L$63</f>
        <v>0.0194288572328401</v>
      </c>
      <c r="E38" s="218">
        <f>D38*'TÁRIFA '!$L$15</f>
        <v>31801.499999999993</v>
      </c>
      <c r="F38" s="218">
        <f>E38*'TÁRIFA '!$T$17</f>
        <v>381617.9999999999</v>
      </c>
    </row>
    <row r="39" spans="1:6" ht="15.75">
      <c r="A39" s="234" t="s">
        <v>140</v>
      </c>
      <c r="B39" s="235">
        <f>SUM(B33:B38)</f>
        <v>1.369310544488567</v>
      </c>
      <c r="C39" s="236">
        <f>SUM(C33:C38)</f>
        <v>0.13485745672743685</v>
      </c>
      <c r="D39" s="237">
        <f>SUM(D33:D38)</f>
        <v>0.809241891272975</v>
      </c>
      <c r="E39" s="238">
        <f>SUM(E33:E38)</f>
        <v>1324581.5591159998</v>
      </c>
      <c r="F39" s="238">
        <f>SUM(F33:F38)</f>
        <v>15894978.709391996</v>
      </c>
    </row>
    <row r="40" spans="1:6" ht="15.75">
      <c r="A40" s="9"/>
      <c r="B40" s="213"/>
      <c r="C40" s="204"/>
      <c r="D40" s="231"/>
      <c r="E40" s="205"/>
      <c r="F40" s="206"/>
    </row>
    <row r="41" spans="1:6" ht="15.75">
      <c r="A41" s="163" t="s">
        <v>89</v>
      </c>
      <c r="B41" s="213">
        <f>B30+B39</f>
        <v>9.260231112748706</v>
      </c>
      <c r="C41" s="204">
        <f>C39+C30</f>
        <v>0.9119999999999998</v>
      </c>
      <c r="D41" s="213">
        <f>D30+D39</f>
        <v>5.472657002071435</v>
      </c>
      <c r="E41" s="240">
        <f>E30+E39</f>
        <v>8957742.576707063</v>
      </c>
      <c r="F41" s="240">
        <f>F30+F39</f>
        <v>107492910.92048475</v>
      </c>
    </row>
    <row r="42" spans="1:6" ht="15.75">
      <c r="A42" s="9"/>
      <c r="B42" s="213" t="s">
        <v>116</v>
      </c>
      <c r="C42" s="204" t="s">
        <v>116</v>
      </c>
      <c r="D42" s="231" t="s">
        <v>116</v>
      </c>
      <c r="E42" s="205"/>
      <c r="F42" s="206"/>
    </row>
    <row r="43" spans="1:6" ht="15.75">
      <c r="A43" s="225" t="s">
        <v>92</v>
      </c>
      <c r="B43" s="221">
        <f>'TÁRIFA '!L57</f>
        <v>0.48738058488151204</v>
      </c>
      <c r="C43" s="222">
        <f>B43/$B$46</f>
        <v>0.04800000000000011</v>
      </c>
      <c r="D43" s="228">
        <f>C43*'TÁRIFA '!$L$63</f>
        <v>0.2880345790563921</v>
      </c>
      <c r="E43" s="223">
        <f>D43*'TÁRIFA '!$L$15</f>
        <v>471460.13561616244</v>
      </c>
      <c r="F43" s="223">
        <f>E43*'TÁRIFA '!$T$17</f>
        <v>5657521.62739395</v>
      </c>
    </row>
    <row r="44" spans="1:6" ht="15.75">
      <c r="A44" s="226" t="s">
        <v>9</v>
      </c>
      <c r="B44" s="221">
        <f>'TÁRIFA '!L58</f>
        <v>0.40615048740125914</v>
      </c>
      <c r="C44" s="222">
        <f>B44/$B$46</f>
        <v>0.04000000000000001</v>
      </c>
      <c r="D44" s="228">
        <f>C44*'TÁRIFA '!$L$63</f>
        <v>0.24002881588032626</v>
      </c>
      <c r="E44" s="223">
        <f>D44*'TÁRIFA '!$L$15</f>
        <v>392883.4463468012</v>
      </c>
      <c r="F44" s="223">
        <f>E44*'TÁRIFA '!$T$17</f>
        <v>4714601.356161614</v>
      </c>
    </row>
    <row r="45" spans="1:6" ht="15.75">
      <c r="A45" s="171"/>
      <c r="B45" s="213" t="s">
        <v>116</v>
      </c>
      <c r="C45" s="208"/>
      <c r="D45" s="231" t="s">
        <v>116</v>
      </c>
      <c r="E45" s="205"/>
      <c r="F45" s="206"/>
    </row>
    <row r="46" spans="1:6" ht="15.75">
      <c r="A46" s="81"/>
      <c r="B46" s="239">
        <f>B41+B43+B44</f>
        <v>10.153762185031477</v>
      </c>
      <c r="C46" s="209">
        <f>C41+C43+C44</f>
        <v>1</v>
      </c>
      <c r="D46" s="231">
        <f>C46*'TÁRIFA '!$L$63</f>
        <v>6.0007203970081555</v>
      </c>
      <c r="E46" s="205">
        <f>D46*'TÁRIFA '!$L$15</f>
        <v>9822086.158670029</v>
      </c>
      <c r="F46" s="210">
        <f>F41+F43+F44</f>
        <v>117865033.9040403</v>
      </c>
    </row>
    <row r="47" spans="1:6" ht="12.75">
      <c r="A47" s="5"/>
      <c r="B47" s="202"/>
      <c r="C47" s="5"/>
      <c r="D47" s="202"/>
      <c r="E47" s="5"/>
      <c r="F47" s="5"/>
    </row>
    <row r="48" spans="1:6" ht="12.75">
      <c r="A48" s="5"/>
      <c r="B48" s="202"/>
      <c r="C48" s="5"/>
      <c r="D48" s="202"/>
      <c r="E48" s="5"/>
      <c r="F48" s="5"/>
    </row>
    <row r="49" spans="1:6" ht="12.75">
      <c r="A49" s="5"/>
      <c r="B49" s="202"/>
      <c r="C49" s="5"/>
      <c r="D49" s="202"/>
      <c r="E49" s="5"/>
      <c r="F49" s="5"/>
    </row>
    <row r="50" spans="1:6" ht="12.75">
      <c r="A50" s="5"/>
      <c r="B50" s="202"/>
      <c r="C50" s="5"/>
      <c r="D50" s="202"/>
      <c r="E50" s="5"/>
      <c r="F50" s="5"/>
    </row>
    <row r="51" ht="12">
      <c r="D51" s="251"/>
    </row>
  </sheetData>
  <sheetProtection/>
  <mergeCells count="1">
    <mergeCell ref="B1:F1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6" r:id="rId1"/>
  <headerFooter>
    <oddHeader>&amp;C&amp;A</oddHeader>
    <oddFooter>&amp;CPágina &amp;P de &amp;N</oddFooter>
  </headerFooter>
  <ignoredErrors>
    <ignoredError sqref="C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FUNCIONARIOS</dc:creator>
  <cp:keywords/>
  <dc:description/>
  <cp:lastModifiedBy>CESAR AUGUSTO SCHEMBERGER</cp:lastModifiedBy>
  <cp:lastPrinted>2021-08-24T22:42:19Z</cp:lastPrinted>
  <dcterms:created xsi:type="dcterms:W3CDTF">1999-04-07T20:57:43Z</dcterms:created>
  <dcterms:modified xsi:type="dcterms:W3CDTF">2022-12-05T14:27:50Z</dcterms:modified>
  <cp:category/>
  <cp:version/>
  <cp:contentType/>
  <cp:contentStatus/>
</cp:coreProperties>
</file>