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835" tabRatio="978" activeTab="2"/>
  </bookViews>
  <sheets>
    <sheet name="KM, PASSAGEIROS E PESSOAL" sheetId="1" r:id="rId1"/>
    <sheet name="FROTA E CUSTOS" sheetId="2" r:id="rId2"/>
    <sheet name="TÁRIFA " sheetId="3" r:id="rId3"/>
    <sheet name="REMUNERAÇÃO PROJETADA" sheetId="4" r:id="rId4"/>
  </sheets>
  <externalReferences>
    <externalReference r:id="rId7"/>
  </externalReference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<sst xmlns="http://schemas.openxmlformats.org/spreadsheetml/2006/main" count="265" uniqueCount="158">
  <si>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</si>
  <si>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</si>
  <si>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</si>
  <si>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</si>
  <si>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</si>
  <si>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</si>
  <si>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</si>
  <si>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</si>
  <si>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</si>
  <si>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</si>
  <si>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</si>
  <si>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</si>
  <si>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</si>
  <si>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</si>
  <si>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</si>
  <si>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</si>
  <si>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</si>
  <si>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</si>
  <si>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</si>
  <si>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</si>
  <si>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</si>
  <si>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</si>
  <si>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</si>
  <si>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</si>
  <si>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</si>
  <si>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</si>
  <si>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</si>
  <si>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</si>
  <si>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</si>
  <si>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</si>
  <si>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</si>
  <si>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</si>
  <si>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</si>
  <si>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</si>
  <si>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</si>
  <si>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</si>
  <si>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</si>
  <si>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</si>
  <si>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</si>
  <si>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</si>
  <si>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</si>
  <si>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</si>
  <si>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</si>
  <si>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</si>
  <si>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</si>
  <si>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</si>
  <si>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</si>
  <si>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</si>
  <si>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</si>
  <si>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</si>
  <si>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</si>
  <si>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</si>
  <si>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</si>
  <si>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</si>
  <si>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</si>
  <si>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</si>
  <si>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</si>
  <si>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</si>
  <si>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</si>
  <si>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</si>
  <si>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</si>
  <si>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</si>
  <si>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</si>
  <si>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</si>
  <si>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</si>
  <si>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</si>
  <si>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</si>
  <si>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</si>
  <si>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</si>
  <si>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</si>
  <si>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</si>
  <si>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</si>
  <si>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</si>
  <si>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</si>
  <si>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</si>
  <si>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</si>
  <si>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</si>
  <si>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</si>
  <si>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</si>
  <si>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</si>
  <si>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</si>
  <si>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</si>
  <si>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</si>
  <si>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</si>
  <si>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</si>
  <si>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</si>
  <si>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</si>
  <si>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</si>
  <si>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</si>
  <si>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</si>
  <si>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</si>
  <si>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</si>
  <si>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</si>
  <si>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</si>
  <si>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</si>
  <si>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</si>
  <si>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</si>
  <si>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</si>
  <si>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</si>
  <si>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</si>
  <si>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</si>
  <si>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</si>
  <si>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</si>
  <si>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</si>
  <si>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</si>
  <si>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</si>
  <si>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</si>
  <si>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</si>
  <si>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</si>
  <si>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</si>
  <si>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</si>
  <si>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</si>
  <si>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</si>
  <si>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</si>
  <si>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</si>
  <si>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</si>
  <si>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</si>
  <si>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</si>
  <si>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</si>
  <si>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</si>
  <si>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</si>
  <si>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</si>
  <si>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</si>
  <si>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</si>
  <si>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</si>
  <si>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</si>
  <si>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</si>
  <si>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</si>
  <si>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</si>
  <si>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</si>
  <si>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</si>
  <si>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</si>
  <si>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</si>
  <si>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</si>
  <si>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</si>
  <si>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</si>
  <si>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</si>
  <si>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</si>
  <si>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</si>
  <si>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</si>
  <si>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</si>
  <si>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</si>
  <si>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</si>
  <si>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</si>
  <si>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</si>
  <si>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</si>
  <si>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</si>
  <si>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</si>
  <si>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</si>
  <si>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</si>
  <si>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</si>
  <si>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</si>
  <si>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</si>
  <si>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</si>
  <si>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</si>
  <si>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FATORES DE UTILIZAÇÃO DE MOTORISTAS E COBRADORES 2023 - versao 107.1</t>
  </si>
  <si>
    <t>novembro - 2023</t>
  </si>
  <si>
    <t>Quilometragem Diária Considerada - dezembro -  versao 107.1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</si>
</sst>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5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10" borderId="0" applyNumberFormat="0" applyBorder="0" applyAlignment="0" applyProtection="0"/>
    <xf numFmtId="0" fontId="62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14" borderId="0" applyNumberFormat="0" applyBorder="0" applyAlignment="0" applyProtection="0"/>
    <xf numFmtId="0" fontId="14" fillId="15" borderId="0" applyNumberFormat="0" applyBorder="0" applyAlignment="0" applyProtection="0"/>
    <xf numFmtId="0" fontId="62" fillId="16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14" fillId="10" borderId="0" applyNumberFormat="0" applyBorder="0" applyAlignment="0" applyProtection="0"/>
    <xf numFmtId="0" fontId="62" fillId="19" borderId="0" applyNumberFormat="0" applyBorder="0" applyAlignment="0" applyProtection="0"/>
    <xf numFmtId="0" fontId="14" fillId="6" borderId="0" applyNumberFormat="0" applyBorder="0" applyAlignment="0" applyProtection="0"/>
    <xf numFmtId="0" fontId="62" fillId="20" borderId="0" applyNumberFormat="0" applyBorder="0" applyAlignment="0" applyProtection="0"/>
    <xf numFmtId="0" fontId="15" fillId="1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24" borderId="0" applyNumberFormat="0" applyBorder="0" applyAlignment="0" applyProtection="0"/>
    <xf numFmtId="0" fontId="63" fillId="25" borderId="0" applyNumberFormat="0" applyBorder="0" applyAlignment="0" applyProtection="0"/>
    <xf numFmtId="0" fontId="15" fillId="17" borderId="0" applyNumberFormat="0" applyBorder="0" applyAlignment="0" applyProtection="0"/>
    <xf numFmtId="0" fontId="63" fillId="26" borderId="0" applyNumberFormat="0" applyBorder="0" applyAlignment="0" applyProtection="0"/>
    <xf numFmtId="0" fontId="15" fillId="10" borderId="0" applyNumberFormat="0" applyBorder="0" applyAlignment="0" applyProtection="0"/>
    <xf numFmtId="0" fontId="63" fillId="27" borderId="0" applyNumberFormat="0" applyBorder="0" applyAlignment="0" applyProtection="0"/>
    <xf numFmtId="0" fontId="15" fillId="4" borderId="0" applyNumberFormat="0" applyBorder="0" applyAlignment="0" applyProtection="0"/>
    <xf numFmtId="0" fontId="63" fillId="28" borderId="0" applyNumberFormat="0" applyBorder="0" applyAlignment="0" applyProtection="0"/>
    <xf numFmtId="0" fontId="16" fillId="10" borderId="0" applyNumberFormat="0" applyBorder="0" applyAlignment="0" applyProtection="0"/>
    <xf numFmtId="0" fontId="64" fillId="29" borderId="0" applyNumberFormat="0" applyBorder="0" applyAlignment="0" applyProtection="0"/>
    <xf numFmtId="0" fontId="17" fillId="30" borderId="1" applyNumberFormat="0" applyAlignment="0" applyProtection="0"/>
    <xf numFmtId="0" fontId="65" fillId="31" borderId="2" applyNumberFormat="0" applyAlignment="0" applyProtection="0"/>
    <xf numFmtId="0" fontId="18" fillId="32" borderId="3" applyNumberFormat="0" applyAlignment="0" applyProtection="0"/>
    <xf numFmtId="0" fontId="66" fillId="33" borderId="4" applyNumberFormat="0" applyAlignment="0" applyProtection="0"/>
    <xf numFmtId="0" fontId="19" fillId="0" borderId="5" applyNumberFormat="0" applyFill="0" applyAlignment="0" applyProtection="0"/>
    <xf numFmtId="0" fontId="67" fillId="0" borderId="6" applyNumberFormat="0" applyFill="0" applyAlignment="0" applyProtection="0"/>
    <xf numFmtId="0" fontId="15" fillId="34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63" fillId="36" borderId="0" applyNumberFormat="0" applyBorder="0" applyAlignment="0" applyProtection="0"/>
    <xf numFmtId="0" fontId="15" fillId="24" borderId="0" applyNumberFormat="0" applyBorder="0" applyAlignment="0" applyProtection="0"/>
    <xf numFmtId="0" fontId="63" fillId="37" borderId="0" applyNumberFormat="0" applyBorder="0" applyAlignment="0" applyProtection="0"/>
    <xf numFmtId="0" fontId="15" fillId="38" borderId="0" applyNumberFormat="0" applyBorder="0" applyAlignment="0" applyProtection="0"/>
    <xf numFmtId="0" fontId="63" fillId="39" borderId="0" applyNumberFormat="0" applyBorder="0" applyAlignment="0" applyProtection="0"/>
    <xf numFmtId="0" fontId="15" fillId="40" borderId="0" applyNumberFormat="0" applyBorder="0" applyAlignment="0" applyProtection="0"/>
    <xf numFmtId="0" fontId="63" fillId="41" borderId="0" applyNumberFormat="0" applyBorder="0" applyAlignment="0" applyProtection="0"/>
    <xf numFmtId="0" fontId="15" fillId="42" borderId="0" applyNumberFormat="0" applyBorder="0" applyAlignment="0" applyProtection="0"/>
    <xf numFmtId="0" fontId="63" fillId="43" borderId="0" applyNumberFormat="0" applyBorder="0" applyAlignment="0" applyProtection="0"/>
    <xf numFmtId="0" fontId="20" fillId="15" borderId="1" applyNumberFormat="0" applyAlignment="0" applyProtection="0"/>
    <xf numFmtId="0" fontId="68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9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0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2" fillId="0" borderId="0">
      <alignment/>
      <protection/>
    </xf>
    <xf numFmtId="0" fontId="0" fillId="6" borderId="7" applyNumberFormat="0" applyFont="0" applyAlignment="0" applyProtection="0"/>
    <xf numFmtId="0" fontId="62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1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4" fillId="0" borderId="12" applyNumberFormat="0" applyFill="0" applyAlignment="0" applyProtection="0"/>
    <xf numFmtId="0" fontId="27" fillId="0" borderId="13" applyNumberFormat="0" applyFill="0" applyAlignment="0" applyProtection="0"/>
    <xf numFmtId="0" fontId="75" fillId="0" borderId="14" applyNumberFormat="0" applyFill="0" applyAlignment="0" applyProtection="0"/>
    <xf numFmtId="0" fontId="28" fillId="0" borderId="15" applyNumberFormat="0" applyFill="0" applyAlignment="0" applyProtection="0"/>
    <xf numFmtId="0" fontId="7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8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0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9" fillId="0" borderId="0" xfId="0" applyFont="1" applyAlignment="1">
      <alignment/>
    </xf>
    <xf numFmtId="37" fontId="79" fillId="0" borderId="0" xfId="0" applyFont="1" applyAlignment="1">
      <alignment/>
    </xf>
    <xf numFmtId="39" fontId="79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8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80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4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1" fillId="49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207" fontId="7" fillId="0" borderId="73" xfId="0" applyNumberFormat="1" applyFont="1" applyFill="1" applyBorder="1" applyAlignment="1">
      <alignment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4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4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2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6" fillId="0" borderId="83" xfId="0" applyFont="1" applyFill="1" applyBorder="1" applyAlignment="1">
      <alignment horizontal="left" vertical="center" indent="1"/>
    </xf>
    <xf numFmtId="171" fontId="32" fillId="0" borderId="31" xfId="0" applyNumberFormat="1" applyFont="1" applyFill="1" applyBorder="1" applyAlignment="1">
      <alignment vertical="center"/>
    </xf>
    <xf numFmtId="171" fontId="30" fillId="0" borderId="25" xfId="0" applyNumberFormat="1" applyFont="1" applyFill="1" applyBorder="1" applyAlignment="1">
      <alignment horizontal="center" vertical="center"/>
    </xf>
    <xf numFmtId="171" fontId="11" fillId="0" borderId="43" xfId="0" applyNumberFormat="1" applyFont="1" applyFill="1" applyBorder="1" applyAlignment="1">
      <alignment horizontal="center" vertical="center"/>
    </xf>
    <xf numFmtId="171" fontId="32" fillId="0" borderId="48" xfId="0" applyNumberFormat="1" applyFont="1" applyFill="1" applyBorder="1" applyAlignment="1">
      <alignment horizontal="center" vertical="center"/>
    </xf>
    <xf numFmtId="171" fontId="32" fillId="0" borderId="31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10" fontId="11" fillId="0" borderId="84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176" fontId="39" fillId="0" borderId="0" xfId="0" applyNumberFormat="1" applyFont="1" applyAlignment="1">
      <alignment horizontal="center"/>
    </xf>
    <xf numFmtId="10" fontId="14" fillId="0" borderId="0" xfId="86" applyNumberFormat="1" applyFont="1" applyAlignment="1">
      <alignment horizontal="center"/>
    </xf>
    <xf numFmtId="37" fontId="14" fillId="52" borderId="0" xfId="0" applyFont="1" applyFill="1" applyAlignment="1">
      <alignment horizontal="center"/>
    </xf>
    <xf numFmtId="37" fontId="34" fillId="6" borderId="0" xfId="0" applyFont="1" applyFill="1" applyAlignment="1">
      <alignment horizontal="left" vertical="center" indent="1"/>
    </xf>
    <xf numFmtId="37" fontId="36" fillId="0" borderId="112" xfId="0" applyFont="1" applyBorder="1" applyAlignment="1">
      <alignment horizontal="left" vertical="center" indent="1"/>
    </xf>
    <xf numFmtId="10" fontId="14" fillId="0" borderId="112" xfId="86" applyNumberFormat="1" applyFont="1" applyBorder="1" applyAlignment="1">
      <alignment horizontal="center"/>
    </xf>
    <xf numFmtId="176" fontId="14" fillId="0" borderId="112" xfId="0" applyNumberFormat="1" applyFont="1" applyBorder="1" applyAlignment="1">
      <alignment horizontal="center"/>
    </xf>
    <xf numFmtId="178" fontId="14" fillId="0" borderId="112" xfId="77" applyNumberFormat="1" applyFont="1" applyBorder="1" applyAlignment="1">
      <alignment/>
    </xf>
    <xf numFmtId="37" fontId="36" fillId="0" borderId="112" xfId="0" applyFont="1" applyBorder="1" applyAlignment="1" quotePrefix="1">
      <alignment horizontal="left" vertical="center" indent="1"/>
    </xf>
    <xf numFmtId="37" fontId="38" fillId="2" borderId="0" xfId="0" applyFont="1" applyFill="1" applyAlignment="1">
      <alignment vertical="center"/>
    </xf>
    <xf numFmtId="10" fontId="14" fillId="2" borderId="112" xfId="86" applyNumberFormat="1" applyFont="1" applyFill="1" applyBorder="1" applyAlignment="1">
      <alignment horizontal="center"/>
    </xf>
    <xf numFmtId="176" fontId="14" fillId="2" borderId="112" xfId="0" applyNumberFormat="1" applyFont="1" applyFill="1" applyBorder="1" applyAlignment="1">
      <alignment horizontal="center"/>
    </xf>
    <xf numFmtId="178" fontId="14" fillId="2" borderId="112" xfId="77" applyNumberFormat="1" applyFont="1" applyFill="1" applyBorder="1" applyAlignment="1">
      <alignment/>
    </xf>
    <xf numFmtId="176" fontId="14" fillId="0" borderId="0" xfId="0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36" fillId="0" borderId="113" xfId="0" applyFont="1" applyBorder="1" applyAlignment="1">
      <alignment horizontal="left" vertical="center" indent="1"/>
    </xf>
    <xf numFmtId="10" fontId="14" fillId="0" borderId="113" xfId="86" applyNumberFormat="1" applyFont="1" applyBorder="1" applyAlignment="1">
      <alignment horizontal="center"/>
    </xf>
    <xf numFmtId="176" fontId="14" fillId="0" borderId="113" xfId="0" applyNumberFormat="1" applyFont="1" applyBorder="1" applyAlignment="1">
      <alignment horizontal="center"/>
    </xf>
    <xf numFmtId="178" fontId="14" fillId="0" borderId="113" xfId="77" applyNumberFormat="1" applyFont="1" applyBorder="1" applyAlignment="1">
      <alignment/>
    </xf>
    <xf numFmtId="37" fontId="36" fillId="0" borderId="113" xfId="0" applyFont="1" applyBorder="1" applyAlignment="1" quotePrefix="1">
      <alignment horizontal="left" vertical="center" indent="1"/>
    </xf>
    <xf numFmtId="178" fontId="39" fillId="0" borderId="0" xfId="77" applyNumberFormat="1" applyFont="1" applyAlignment="1">
      <alignment horizontal="center"/>
    </xf>
    <xf numFmtId="37" fontId="11" fillId="30" borderId="113" xfId="0" applyFont="1" applyFill="1" applyBorder="1" applyAlignment="1">
      <alignment horizontal="left" vertical="center" indent="1"/>
    </xf>
    <xf numFmtId="37" fontId="31" fillId="30" borderId="113" xfId="0" applyFont="1" applyFill="1" applyBorder="1" applyAlignment="1">
      <alignment horizontal="left" vertical="center" indent="1"/>
    </xf>
    <xf numFmtId="37" fontId="36" fillId="0" borderId="0" xfId="0" applyFont="1" applyAlignment="1">
      <alignment horizontal="left" vertical="center" indent="2"/>
    </xf>
    <xf numFmtId="37" fontId="15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214" fontId="41" fillId="15" borderId="71" xfId="77" applyNumberFormat="1" applyFont="1" applyFill="1" applyBorder="1" applyAlignment="1">
      <alignment vertical="center"/>
    </xf>
    <xf numFmtId="176" fontId="39" fillId="0" borderId="114" xfId="0" applyNumberFormat="1" applyFont="1" applyBorder="1" applyAlignment="1">
      <alignment horizontal="center"/>
    </xf>
    <xf numFmtId="10" fontId="14" fillId="0" borderId="114" xfId="86" applyNumberFormat="1" applyFont="1" applyBorder="1" applyAlignment="1">
      <alignment horizontal="center"/>
    </xf>
    <xf numFmtId="176" fontId="14" fillId="13" borderId="114" xfId="0" applyNumberFormat="1" applyFont="1" applyFill="1" applyBorder="1" applyAlignment="1">
      <alignment horizontal="center"/>
    </xf>
    <xf numFmtId="37" fontId="14" fillId="13" borderId="115" xfId="0" applyFont="1" applyFill="1" applyBorder="1" applyAlignment="1">
      <alignment horizontal="center"/>
    </xf>
    <xf numFmtId="207" fontId="39" fillId="0" borderId="112" xfId="0" applyNumberFormat="1" applyFont="1" applyBorder="1" applyAlignment="1">
      <alignment horizontal="center"/>
    </xf>
    <xf numFmtId="207" fontId="39" fillId="2" borderId="112" xfId="0" applyNumberFormat="1" applyFont="1" applyFill="1" applyBorder="1" applyAlignment="1">
      <alignment horizontal="center"/>
    </xf>
    <xf numFmtId="207" fontId="39" fillId="0" borderId="113" xfId="0" applyNumberFormat="1" applyFont="1" applyBorder="1" applyAlignment="1">
      <alignment horizontal="center"/>
    </xf>
    <xf numFmtId="37" fontId="36" fillId="0" borderId="116" xfId="0" applyFont="1" applyBorder="1" applyAlignment="1">
      <alignment horizontal="center" vertical="center"/>
    </xf>
    <xf numFmtId="3" fontId="31" fillId="0" borderId="57" xfId="106" applyNumberFormat="1" applyFont="1" applyBorder="1" applyAlignment="1">
      <alignment vertical="center"/>
    </xf>
    <xf numFmtId="3" fontId="31" fillId="0" borderId="117" xfId="106" applyNumberFormat="1" applyFont="1" applyBorder="1" applyAlignment="1">
      <alignment vertical="center"/>
    </xf>
    <xf numFmtId="37" fontId="38" fillId="0" borderId="70" xfId="0" applyFont="1" applyBorder="1" applyAlignment="1">
      <alignment horizontal="center" vertical="center"/>
    </xf>
    <xf numFmtId="183" fontId="44" fillId="0" borderId="71" xfId="0" applyNumberFormat="1" applyFont="1" applyBorder="1" applyAlignment="1">
      <alignment horizontal="center" vertical="center"/>
    </xf>
    <xf numFmtId="9" fontId="29" fillId="0" borderId="118" xfId="86" applyFont="1" applyBorder="1" applyAlignment="1">
      <alignment horizontal="center" vertical="center"/>
    </xf>
    <xf numFmtId="178" fontId="29" fillId="0" borderId="118" xfId="0" applyNumberFormat="1" applyFont="1" applyBorder="1" applyAlignment="1">
      <alignment horizontal="center" vertical="center"/>
    </xf>
    <xf numFmtId="178" fontId="29" fillId="0" borderId="118" xfId="77" applyNumberFormat="1" applyFont="1" applyBorder="1" applyAlignment="1">
      <alignment horizontal="center" vertical="center"/>
    </xf>
    <xf numFmtId="214" fontId="41" fillId="15" borderId="70" xfId="77" applyNumberFormat="1" applyFont="1" applyFill="1" applyBorder="1" applyAlignment="1">
      <alignment vertical="center"/>
    </xf>
    <xf numFmtId="37" fontId="30" fillId="0" borderId="119" xfId="0" applyFont="1" applyBorder="1" applyAlignment="1">
      <alignment horizontal="left" vertical="center"/>
    </xf>
    <xf numFmtId="37" fontId="30" fillId="0" borderId="120" xfId="0" applyFont="1" applyBorder="1" applyAlignment="1">
      <alignment horizontal="left" vertical="center"/>
    </xf>
    <xf numFmtId="37" fontId="0" fillId="0" borderId="121" xfId="0" applyBorder="1" applyAlignment="1">
      <alignment horizont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22" xfId="0" applyFont="1" applyBorder="1" applyAlignment="1">
      <alignment horizontal="left" vertical="center"/>
    </xf>
    <xf numFmtId="37" fontId="30" fillId="0" borderId="123" xfId="0" applyFont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0" fillId="0" borderId="124" xfId="0" applyBorder="1" applyAlignment="1">
      <alignment horizontal="center"/>
    </xf>
    <xf numFmtId="37" fontId="38" fillId="0" borderId="0" xfId="0" applyFont="1" applyAlignment="1">
      <alignment horizontal="center" vertical="center"/>
    </xf>
    <xf numFmtId="37" fontId="37" fillId="51" borderId="125" xfId="0" applyFont="1" applyFill="1" applyBorder="1" applyAlignment="1">
      <alignment horizontal="center" vertical="center" wrapText="1"/>
    </xf>
    <xf numFmtId="37" fontId="37" fillId="51" borderId="126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25" xfId="0" applyFont="1" applyFill="1" applyBorder="1" applyAlignment="1">
      <alignment horizontal="center" vertical="center" wrapText="1"/>
    </xf>
    <xf numFmtId="37" fontId="33" fillId="51" borderId="126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27" xfId="0" applyFont="1" applyFill="1" applyBorder="1" applyAlignment="1">
      <alignment horizontal="left" vertical="center"/>
    </xf>
    <xf numFmtId="37" fontId="38" fillId="54" borderId="128" xfId="0" applyFont="1" applyFill="1" applyBorder="1" applyAlignment="1">
      <alignment horizontal="center" vertical="center"/>
    </xf>
    <xf numFmtId="37" fontId="38" fillId="54" borderId="124" xfId="0" applyFont="1" applyFill="1" applyBorder="1" applyAlignment="1">
      <alignment horizontal="center" vertical="center"/>
    </xf>
    <xf numFmtId="37" fontId="38" fillId="54" borderId="129" xfId="0" applyFont="1" applyFill="1" applyBorder="1" applyAlignment="1">
      <alignment horizontal="center" vertical="center"/>
    </xf>
    <xf numFmtId="37" fontId="31" fillId="54" borderId="125" xfId="0" applyFont="1" applyFill="1" applyBorder="1" applyAlignment="1">
      <alignment horizontal="center" vertical="center"/>
    </xf>
    <xf numFmtId="37" fontId="31" fillId="54" borderId="121" xfId="0" applyFont="1" applyFill="1" applyBorder="1" applyAlignment="1">
      <alignment horizontal="center" vertical="center"/>
    </xf>
    <xf numFmtId="37" fontId="31" fillId="54" borderId="126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37" fontId="38" fillId="51" borderId="130" xfId="0" applyFont="1" applyFill="1" applyBorder="1" applyAlignment="1">
      <alignment horizontal="center" vertical="center"/>
    </xf>
    <xf numFmtId="37" fontId="38" fillId="51" borderId="131" xfId="0" applyFont="1" applyFill="1" applyBorder="1" applyAlignment="1">
      <alignment horizontal="center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37" fontId="30" fillId="13" borderId="125" xfId="82" applyFont="1" applyFill="1" applyBorder="1" applyAlignment="1">
      <alignment horizontal="center" vertical="center"/>
      <protection/>
    </xf>
    <xf numFmtId="37" fontId="30" fillId="13" borderId="126" xfId="82" applyFont="1" applyFill="1" applyBorder="1" applyAlignment="1">
      <alignment horizontal="center" vertical="center"/>
      <protection/>
    </xf>
    <xf numFmtId="165" fontId="30" fillId="0" borderId="85" xfId="106" applyFont="1" applyBorder="1" applyAlignment="1">
      <alignment horizontal="left" vertical="center"/>
    </xf>
    <xf numFmtId="165" fontId="30" fillId="0" borderId="132" xfId="106" applyFont="1" applyBorder="1" applyAlignment="1">
      <alignment horizontal="left" vertical="center"/>
    </xf>
    <xf numFmtId="37" fontId="30" fillId="51" borderId="133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7" fillId="0" borderId="0" xfId="0" applyFont="1" applyAlignment="1">
      <alignment horizontal="center" vertical="center" wrapText="1"/>
    </xf>
    <xf numFmtId="37" fontId="38" fillId="19" borderId="130" xfId="0" applyFont="1" applyFill="1" applyBorder="1" applyAlignment="1">
      <alignment horizontal="center" vertical="center"/>
    </xf>
    <xf numFmtId="37" fontId="38" fillId="19" borderId="131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34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25" xfId="0" applyFont="1" applyFill="1" applyBorder="1" applyAlignment="1">
      <alignment horizontal="center" vertical="center"/>
    </xf>
    <xf numFmtId="37" fontId="11" fillId="51" borderId="121" xfId="0" applyFont="1" applyFill="1" applyBorder="1" applyAlignment="1">
      <alignment horizontal="center" vertical="center"/>
    </xf>
    <xf numFmtId="37" fontId="11" fillId="51" borderId="126" xfId="0" applyFont="1" applyFill="1" applyBorder="1" applyAlignment="1">
      <alignment horizontal="center" vertical="center"/>
    </xf>
    <xf numFmtId="165" fontId="30" fillId="0" borderId="135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165" fontId="30" fillId="0" borderId="136" xfId="106" applyFont="1" applyBorder="1" applyAlignment="1">
      <alignment horizontal="left" vertical="center"/>
    </xf>
    <xf numFmtId="165" fontId="30" fillId="0" borderId="137" xfId="106" applyFont="1" applyBorder="1" applyAlignment="1">
      <alignment horizontal="left" vertical="center"/>
    </xf>
    <xf numFmtId="37" fontId="31" fillId="15" borderId="138" xfId="0" applyFont="1" applyFill="1" applyBorder="1" applyAlignment="1">
      <alignment vertical="center"/>
    </xf>
    <xf numFmtId="37" fontId="31" fillId="6" borderId="56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39" xfId="0" applyFont="1" applyFill="1" applyBorder="1" applyAlignment="1">
      <alignment horizontal="center" vertical="center"/>
    </xf>
    <xf numFmtId="9" fontId="31" fillId="0" borderId="140" xfId="86" applyFont="1" applyBorder="1" applyAlignment="1">
      <alignment horizontal="center" vertical="center"/>
    </xf>
    <xf numFmtId="9" fontId="31" fillId="0" borderId="141" xfId="86" applyFont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17" xfId="0" applyNumberFormat="1" applyFont="1" applyFill="1" applyBorder="1" applyAlignment="1">
      <alignment horizontal="center" vertical="center"/>
    </xf>
    <xf numFmtId="3" fontId="31" fillId="0" borderId="140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" fontId="83" fillId="0" borderId="42" xfId="106" applyNumberFormat="1" applyFont="1" applyBorder="1" applyAlignment="1">
      <alignment horizontal="center" vertical="center" shrinkToFit="1"/>
    </xf>
    <xf numFmtId="3" fontId="83" fillId="0" borderId="21" xfId="106" applyNumberFormat="1" applyFont="1" applyBorder="1" applyAlignment="1">
      <alignment horizontal="center" vertical="center" shrinkToFit="1"/>
    </xf>
    <xf numFmtId="170" fontId="34" fillId="6" borderId="142" xfId="0" applyNumberFormat="1" applyFont="1" applyFill="1" applyBorder="1" applyAlignment="1">
      <alignment horizontal="center" vertical="center"/>
    </xf>
    <xf numFmtId="170" fontId="34" fillId="6" borderId="122" xfId="0" applyNumberFormat="1" applyFont="1" applyFill="1" applyBorder="1" applyAlignment="1">
      <alignment horizontal="center" vertical="center"/>
    </xf>
    <xf numFmtId="170" fontId="34" fillId="6" borderId="123" xfId="0" applyNumberFormat="1" applyFont="1" applyFill="1" applyBorder="1" applyAlignment="1">
      <alignment horizontal="center" vertical="center"/>
    </xf>
    <xf numFmtId="168" fontId="39" fillId="6" borderId="142" xfId="0" applyNumberFormat="1" applyFont="1" applyFill="1" applyBorder="1" applyAlignment="1">
      <alignment horizontal="center" vertical="center"/>
    </xf>
    <xf numFmtId="168" fontId="39" fillId="6" borderId="143" xfId="0" applyNumberFormat="1" applyFont="1" applyFill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144" xfId="0" applyFont="1" applyFill="1" applyBorder="1" applyAlignment="1">
      <alignment horizontal="center" vertical="center"/>
    </xf>
    <xf numFmtId="37" fontId="31" fillId="6" borderId="89" xfId="0" applyFont="1" applyFill="1" applyBorder="1" applyAlignment="1">
      <alignment horizontal="center" vertical="center"/>
    </xf>
    <xf numFmtId="37" fontId="11" fillId="30" borderId="142" xfId="0" applyFont="1" applyFill="1" applyBorder="1" applyAlignment="1">
      <alignment vertical="center"/>
    </xf>
    <xf numFmtId="37" fontId="11" fillId="30" borderId="122" xfId="0" applyFont="1" applyFill="1" applyBorder="1" applyAlignment="1">
      <alignment vertical="center"/>
    </xf>
    <xf numFmtId="37" fontId="11" fillId="30" borderId="123" xfId="0" applyFont="1" applyFill="1" applyBorder="1" applyAlignment="1">
      <alignment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83" fillId="0" borderId="45" xfId="106" applyNumberFormat="1" applyFont="1" applyBorder="1" applyAlignment="1">
      <alignment horizontal="center" vertical="center" shrinkToFit="1"/>
    </xf>
    <xf numFmtId="3" fontId="83" fillId="0" borderId="145" xfId="106" applyNumberFormat="1" applyFont="1" applyBorder="1" applyAlignment="1">
      <alignment horizontal="center" vertical="center" shrinkToFit="1"/>
    </xf>
    <xf numFmtId="3" fontId="83" fillId="0" borderId="132" xfId="106" applyNumberFormat="1" applyFont="1" applyBorder="1" applyAlignment="1">
      <alignment horizontal="center" vertical="center" shrinkToFit="1"/>
    </xf>
    <xf numFmtId="37" fontId="42" fillId="0" borderId="0" xfId="0" applyFont="1" applyAlignment="1">
      <alignment horizontal="center" vertical="center"/>
    </xf>
    <xf numFmtId="37" fontId="38" fillId="6" borderId="146" xfId="0" applyFont="1" applyFill="1" applyBorder="1" applyAlignment="1">
      <alignment horizontal="center" vertical="center"/>
    </xf>
    <xf numFmtId="37" fontId="38" fillId="6" borderId="147" xfId="0" applyFont="1" applyFill="1" applyBorder="1" applyAlignment="1">
      <alignment horizontal="center" vertical="center"/>
    </xf>
    <xf numFmtId="3" fontId="31" fillId="0" borderId="140" xfId="106" applyNumberFormat="1" applyFont="1" applyBorder="1" applyAlignment="1">
      <alignment horizontal="right" vertical="center"/>
    </xf>
    <xf numFmtId="3" fontId="31" fillId="0" borderId="141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148" xfId="0" applyFont="1" applyFill="1" applyBorder="1" applyAlignment="1">
      <alignment horizontal="center" vertical="center"/>
    </xf>
    <xf numFmtId="37" fontId="38" fillId="6" borderId="149" xfId="0" applyFont="1" applyFill="1" applyBorder="1" applyAlignment="1">
      <alignment horizontal="center" vertical="center"/>
    </xf>
    <xf numFmtId="37" fontId="38" fillId="6" borderId="150" xfId="0" applyFont="1" applyFill="1" applyBorder="1" applyAlignment="1">
      <alignment horizontal="center" vertical="center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83" fillId="0" borderId="140" xfId="0" applyFont="1" applyBorder="1" applyAlignment="1">
      <alignment horizontal="center" vertical="center"/>
    </xf>
    <xf numFmtId="37" fontId="83" fillId="0" borderId="145" xfId="0" applyFont="1" applyBorder="1" applyAlignment="1">
      <alignment horizontal="center" vertical="center"/>
    </xf>
    <xf numFmtId="37" fontId="83" fillId="0" borderId="42" xfId="0" applyFont="1" applyBorder="1" applyAlignment="1">
      <alignment horizontal="center" vertical="center"/>
    </xf>
    <xf numFmtId="37" fontId="83" fillId="0" borderId="45" xfId="0" applyFont="1" applyBorder="1" applyAlignment="1">
      <alignment horizontal="center" vertical="center"/>
    </xf>
    <xf numFmtId="37" fontId="83" fillId="0" borderId="132" xfId="0" applyFont="1" applyBorder="1" applyAlignment="1">
      <alignment horizontal="center" vertical="center"/>
    </xf>
    <xf numFmtId="37" fontId="83" fillId="0" borderId="141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red\Downloads\Planilha-2022-versao-2-analis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2">
        <row r="17">
          <cell r="T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432" t="s">
        <v>157</v>
      </c>
      <c r="C2" s="433"/>
      <c r="D2" s="433"/>
      <c r="E2" s="433"/>
      <c r="F2" s="433"/>
      <c r="G2" s="433"/>
      <c r="H2" s="433"/>
      <c r="I2" s="434"/>
      <c r="K2" s="429" t="s">
        <v>155</v>
      </c>
      <c r="L2" s="430"/>
      <c r="M2" s="430"/>
      <c r="N2" s="430"/>
      <c r="O2" s="430"/>
      <c r="P2" s="430"/>
      <c r="Q2" s="431"/>
    </row>
    <row r="3" spans="2:17" ht="13.5" customHeight="1" thickBot="1">
      <c r="B3" s="214"/>
      <c r="C3" s="190"/>
      <c r="D3" s="413"/>
      <c r="E3" s="413"/>
      <c r="F3" s="438"/>
      <c r="G3" s="413"/>
      <c r="H3" s="413"/>
      <c r="I3" s="414"/>
      <c r="J3" s="150"/>
      <c r="K3" s="36"/>
      <c r="Q3" s="37"/>
    </row>
    <row r="4" spans="2:21" ht="13.5" customHeight="1" thickBot="1">
      <c r="B4" s="436">
        <v>45292</v>
      </c>
      <c r="C4" s="437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5" t="s">
        <v>26</v>
      </c>
      <c r="J4" s="151"/>
      <c r="K4" s="36"/>
      <c r="L4" s="417" t="s">
        <v>46</v>
      </c>
      <c r="M4" s="418"/>
      <c r="N4" s="326"/>
      <c r="O4" s="417" t="s">
        <v>47</v>
      </c>
      <c r="P4" s="418"/>
      <c r="Q4" s="37"/>
      <c r="S4" s="193"/>
      <c r="T4" s="193"/>
      <c r="U4" s="193"/>
    </row>
    <row r="5" spans="2:21" s="7" customFormat="1" ht="13.5" customHeight="1">
      <c r="B5" s="316" t="s">
        <v>29</v>
      </c>
      <c r="C5" s="314">
        <v>22</v>
      </c>
      <c r="D5" s="347">
        <v>3944.373</v>
      </c>
      <c r="E5" s="346">
        <v>29916.623</v>
      </c>
      <c r="F5" s="309">
        <v>3059.928</v>
      </c>
      <c r="G5" s="297">
        <f aca="true" t="shared" si="0" ref="G5:I7">D5*$C5</f>
        <v>86776.206</v>
      </c>
      <c r="H5" s="297">
        <f t="shared" si="0"/>
        <v>658165.706</v>
      </c>
      <c r="I5" s="298">
        <f t="shared" si="0"/>
        <v>67318.416</v>
      </c>
      <c r="J5" s="152"/>
      <c r="K5" s="36"/>
      <c r="L5" s="319" t="s">
        <v>13</v>
      </c>
      <c r="M5" s="334">
        <v>2171.39</v>
      </c>
      <c r="N5" s="320"/>
      <c r="O5" s="331" t="s">
        <v>13</v>
      </c>
      <c r="P5" s="342">
        <v>2043.57</v>
      </c>
      <c r="Q5" s="37"/>
      <c r="S5" s="194"/>
      <c r="T5" s="194"/>
      <c r="U5" s="194"/>
    </row>
    <row r="6" spans="2:21" ht="13.5" customHeight="1">
      <c r="B6" s="317" t="s">
        <v>30</v>
      </c>
      <c r="C6" s="315">
        <v>4</v>
      </c>
      <c r="D6" s="310">
        <v>8050.12</v>
      </c>
      <c r="E6" s="310">
        <v>16321.134</v>
      </c>
      <c r="F6" s="311">
        <v>2232.998</v>
      </c>
      <c r="G6" s="299">
        <f t="shared" si="0"/>
        <v>32200.48</v>
      </c>
      <c r="H6" s="299">
        <f t="shared" si="0"/>
        <v>65284.536</v>
      </c>
      <c r="I6" s="300">
        <f t="shared" si="0"/>
        <v>8931.992</v>
      </c>
      <c r="J6" s="151"/>
      <c r="K6" s="36"/>
      <c r="L6" s="321" t="s">
        <v>14</v>
      </c>
      <c r="M6" s="334">
        <v>1523.31</v>
      </c>
      <c r="N6" s="320"/>
      <c r="O6" s="332" t="s">
        <v>14</v>
      </c>
      <c r="P6" s="343">
        <v>1182.46</v>
      </c>
      <c r="Q6" s="37"/>
      <c r="S6" s="193"/>
      <c r="T6" s="193"/>
      <c r="U6" s="193"/>
    </row>
    <row r="7" spans="2:21" ht="13.5" customHeight="1">
      <c r="B7" s="318" t="s">
        <v>31</v>
      </c>
      <c r="C7" s="307">
        <v>5</v>
      </c>
      <c r="D7" s="312">
        <v>9907.469</v>
      </c>
      <c r="E7" s="312">
        <v>4791.866</v>
      </c>
      <c r="F7" s="313">
        <v>347.645</v>
      </c>
      <c r="G7" s="301">
        <f t="shared" si="0"/>
        <v>49537.344999999994</v>
      </c>
      <c r="H7" s="301">
        <f t="shared" si="0"/>
        <v>23959.33</v>
      </c>
      <c r="I7" s="302">
        <f t="shared" si="0"/>
        <v>1738.225</v>
      </c>
      <c r="J7" s="151"/>
      <c r="K7" s="36"/>
      <c r="L7" s="322" t="s">
        <v>15</v>
      </c>
      <c r="M7" s="334">
        <v>826.48</v>
      </c>
      <c r="N7" s="320"/>
      <c r="O7" s="332" t="s">
        <v>15</v>
      </c>
      <c r="P7" s="343">
        <v>423.21</v>
      </c>
      <c r="Q7" s="37"/>
      <c r="S7" s="193"/>
      <c r="T7" s="193"/>
      <c r="U7" s="193"/>
    </row>
    <row r="8" spans="2:21" ht="13.5" customHeight="1">
      <c r="B8" s="318" t="s">
        <v>121</v>
      </c>
      <c r="C8" s="307">
        <f>SUM(C5:C7)</f>
        <v>31</v>
      </c>
      <c r="D8" s="308" t="s">
        <v>106</v>
      </c>
      <c r="E8" s="415" t="s">
        <v>22</v>
      </c>
      <c r="F8" s="416"/>
      <c r="G8" s="303">
        <f>SUM(G5:G7)</f>
        <v>168514.031</v>
      </c>
      <c r="H8" s="303">
        <f>SUM(H5:H7)</f>
        <v>747409.5719999999</v>
      </c>
      <c r="I8" s="304">
        <f>SUM(I5:I7)</f>
        <v>77988.633</v>
      </c>
      <c r="J8" s="151"/>
      <c r="K8" s="36"/>
      <c r="L8" s="323" t="s">
        <v>16</v>
      </c>
      <c r="M8" s="335">
        <f>M5/6</f>
        <v>361.8983333333333</v>
      </c>
      <c r="N8" s="261"/>
      <c r="O8" s="333" t="s">
        <v>16</v>
      </c>
      <c r="P8" s="344">
        <f>P5/6</f>
        <v>340.59499999999997</v>
      </c>
      <c r="Q8" s="37"/>
      <c r="S8" s="193"/>
      <c r="T8" s="193"/>
      <c r="U8" s="193"/>
    </row>
    <row r="9" spans="2:22" ht="13.5" customHeight="1" thickBot="1">
      <c r="B9" s="214"/>
      <c r="C9" s="282" t="s">
        <v>139</v>
      </c>
      <c r="D9" s="216"/>
      <c r="E9" s="410" t="s">
        <v>23</v>
      </c>
      <c r="F9" s="411"/>
      <c r="G9" s="305">
        <f>G8</f>
        <v>168514.031</v>
      </c>
      <c r="H9" s="305">
        <f>H8</f>
        <v>747409.5719999999</v>
      </c>
      <c r="I9" s="306">
        <f>I8</f>
        <v>77988.633</v>
      </c>
      <c r="J9" s="151"/>
      <c r="K9" s="36"/>
      <c r="L9" s="321" t="s">
        <v>17</v>
      </c>
      <c r="M9" s="336">
        <f>M6/6</f>
        <v>253.885</v>
      </c>
      <c r="N9" s="261"/>
      <c r="O9" s="321" t="s">
        <v>17</v>
      </c>
      <c r="P9" s="336">
        <f>P6/6</f>
        <v>197.07666666666668</v>
      </c>
      <c r="Q9" s="37"/>
      <c r="T9" s="193"/>
      <c r="U9" s="193"/>
      <c r="V9" s="193"/>
    </row>
    <row r="10" spans="2:22" ht="13.5" customHeight="1" thickBot="1">
      <c r="B10" s="217"/>
      <c r="C10" s="218"/>
      <c r="D10" s="218"/>
      <c r="E10" s="427" t="s">
        <v>34</v>
      </c>
      <c r="F10" s="428"/>
      <c r="G10" s="295"/>
      <c r="H10" s="295"/>
      <c r="I10" s="296">
        <f>SUM(G9:I9)</f>
        <v>993912.2359999999</v>
      </c>
      <c r="J10" s="189"/>
      <c r="K10" s="36"/>
      <c r="L10" s="322" t="s">
        <v>18</v>
      </c>
      <c r="M10" s="337">
        <f>M7/6</f>
        <v>137.74666666666667</v>
      </c>
      <c r="N10" s="261"/>
      <c r="O10" s="322" t="s">
        <v>18</v>
      </c>
      <c r="P10" s="345">
        <f>P7/6</f>
        <v>70.535</v>
      </c>
      <c r="Q10" s="37"/>
      <c r="T10" s="193"/>
      <c r="U10" s="195"/>
      <c r="V10" s="193"/>
    </row>
    <row r="11" spans="2:22" ht="13.5" thickBot="1">
      <c r="B11" s="435" t="s">
        <v>106</v>
      </c>
      <c r="C11" s="435"/>
      <c r="D11" s="9"/>
      <c r="E11" s="9"/>
      <c r="F11" s="170"/>
      <c r="G11" s="412"/>
      <c r="H11" s="412"/>
      <c r="K11" s="36"/>
      <c r="L11" s="324" t="s">
        <v>49</v>
      </c>
      <c r="M11" s="338">
        <f>C7</f>
        <v>5</v>
      </c>
      <c r="N11" s="261"/>
      <c r="O11" s="324" t="s">
        <v>49</v>
      </c>
      <c r="P11" s="338">
        <f>C7</f>
        <v>5</v>
      </c>
      <c r="Q11" s="37"/>
      <c r="T11" s="193"/>
      <c r="U11" s="195"/>
      <c r="V11" s="193"/>
    </row>
    <row r="12" spans="2:22" ht="12.75">
      <c r="B12" s="425" t="s">
        <v>143</v>
      </c>
      <c r="C12" s="426"/>
      <c r="D12" s="179"/>
      <c r="E12" s="421" t="s">
        <v>131</v>
      </c>
      <c r="F12" s="422"/>
      <c r="K12" s="36"/>
      <c r="L12" s="323" t="s">
        <v>19</v>
      </c>
      <c r="M12" s="339">
        <f>((M8*$C$5)+(M9*$C$6)+(M10*$C$7))/($C$8-$C$7)</f>
        <v>371.77064102564105</v>
      </c>
      <c r="N12" s="261"/>
      <c r="O12" s="323" t="s">
        <v>19</v>
      </c>
      <c r="P12" s="339">
        <f>((P8*$C$5)+(P9*$C$6)+(P10*$C$7))/($C$8-$C$7)</f>
        <v>332.0796794871794</v>
      </c>
      <c r="Q12" s="37"/>
      <c r="T12" s="193"/>
      <c r="U12" s="195"/>
      <c r="V12" s="193"/>
    </row>
    <row r="13" spans="2:22" ht="13.5" customHeight="1" thickBot="1">
      <c r="B13" s="210" t="s">
        <v>45</v>
      </c>
      <c r="C13" s="211" t="s">
        <v>156</v>
      </c>
      <c r="D13" s="180"/>
      <c r="E13" s="423"/>
      <c r="F13" s="424"/>
      <c r="J13" s="281"/>
      <c r="K13" s="36"/>
      <c r="L13" s="325" t="s">
        <v>51</v>
      </c>
      <c r="M13" s="340">
        <f>M12*0.0909</f>
        <v>33.79395126923077</v>
      </c>
      <c r="N13" s="261"/>
      <c r="O13" s="325" t="s">
        <v>51</v>
      </c>
      <c r="P13" s="340">
        <f>P12*0.0909</f>
        <v>30.186042865384607</v>
      </c>
      <c r="Q13" s="37"/>
      <c r="T13" s="193"/>
      <c r="U13" s="193"/>
      <c r="V13" s="193"/>
    </row>
    <row r="14" spans="2:22" ht="13.5" customHeight="1" thickBot="1">
      <c r="B14" s="212" t="s">
        <v>35</v>
      </c>
      <c r="C14" s="213">
        <v>1744788</v>
      </c>
      <c r="D14" s="186"/>
      <c r="E14" s="219">
        <v>1103</v>
      </c>
      <c r="F14" s="220"/>
      <c r="K14" s="36"/>
      <c r="L14" s="325" t="s">
        <v>20</v>
      </c>
      <c r="M14" s="340">
        <f>SUM(M12:M13)</f>
        <v>405.56459229487183</v>
      </c>
      <c r="N14" s="261"/>
      <c r="O14" s="325" t="s">
        <v>20</v>
      </c>
      <c r="P14" s="340">
        <f>SUM(P12:P13)</f>
        <v>362.265722352564</v>
      </c>
      <c r="Q14" s="37"/>
      <c r="T14" s="193"/>
      <c r="U14" s="193"/>
      <c r="V14" s="193"/>
    </row>
    <row r="15" spans="3:17" ht="13.5" customHeight="1">
      <c r="C15" s="190"/>
      <c r="D15" s="181"/>
      <c r="K15" s="36"/>
      <c r="L15" s="325" t="s">
        <v>52</v>
      </c>
      <c r="M15" s="340">
        <f>M14*10%</f>
        <v>40.55645922948719</v>
      </c>
      <c r="N15" s="261"/>
      <c r="O15" s="325" t="s">
        <v>52</v>
      </c>
      <c r="P15" s="340">
        <f>P14/10</f>
        <v>36.2265722352564</v>
      </c>
      <c r="Q15" s="37"/>
    </row>
    <row r="16" spans="3:17" ht="13.5" customHeight="1">
      <c r="C16" s="190"/>
      <c r="K16" s="36"/>
      <c r="L16" s="321" t="s">
        <v>50</v>
      </c>
      <c r="M16" s="340">
        <f>SUM(M14:M15)</f>
        <v>446.121051524359</v>
      </c>
      <c r="N16" s="261"/>
      <c r="O16" s="321" t="s">
        <v>50</v>
      </c>
      <c r="P16" s="340">
        <f>SUM(P14:P15)</f>
        <v>398.4922945878204</v>
      </c>
      <c r="Q16" s="37"/>
    </row>
    <row r="17" spans="3:17" ht="13.5" customHeight="1">
      <c r="C17" s="190"/>
      <c r="K17" s="36"/>
      <c r="L17" s="325" t="s">
        <v>53</v>
      </c>
      <c r="M17" s="340">
        <f>M16*5%</f>
        <v>22.30605257621795</v>
      </c>
      <c r="N17" s="261"/>
      <c r="O17" s="325" t="s">
        <v>53</v>
      </c>
      <c r="P17" s="340">
        <f>P16/20</f>
        <v>19.92461472939102</v>
      </c>
      <c r="Q17" s="37"/>
    </row>
    <row r="18" spans="3:17" ht="13.5" customHeight="1">
      <c r="C18" s="190"/>
      <c r="D18" s="190"/>
      <c r="E18" s="191"/>
      <c r="K18" s="36"/>
      <c r="L18" s="321" t="s">
        <v>21</v>
      </c>
      <c r="M18" s="340">
        <f>SUM(M16:M17)</f>
        <v>468.42710410057697</v>
      </c>
      <c r="N18" s="261"/>
      <c r="O18" s="321" t="s">
        <v>21</v>
      </c>
      <c r="P18" s="340">
        <f>SUM(P16:P17)</f>
        <v>418.41690931721143</v>
      </c>
      <c r="Q18" s="37"/>
    </row>
    <row r="19" spans="3:17" ht="13.5" customHeight="1" thickBot="1">
      <c r="C19" s="190"/>
      <c r="D19" s="190"/>
      <c r="E19" s="190"/>
      <c r="J19" s="203"/>
      <c r="K19" s="36"/>
      <c r="L19" s="328" t="s">
        <v>1</v>
      </c>
      <c r="M19" s="341">
        <v>151</v>
      </c>
      <c r="N19" s="261"/>
      <c r="O19" s="328" t="s">
        <v>1</v>
      </c>
      <c r="P19" s="341">
        <v>130</v>
      </c>
      <c r="Q19" s="37"/>
    </row>
    <row r="20" spans="3:17" ht="13.5" customHeight="1" thickBot="1">
      <c r="C20" s="190"/>
      <c r="D20" s="190"/>
      <c r="E20" s="190"/>
      <c r="J20" s="203"/>
      <c r="K20" s="36"/>
      <c r="L20" s="329" t="s">
        <v>48</v>
      </c>
      <c r="M20" s="330">
        <f>M18/M19</f>
        <v>3.1021662523217017</v>
      </c>
      <c r="N20" s="327"/>
      <c r="O20" s="329" t="s">
        <v>48</v>
      </c>
      <c r="P20" s="330">
        <f>(P18/P19)-0.0001</f>
        <v>3.2184916101323955</v>
      </c>
      <c r="Q20" s="37"/>
    </row>
    <row r="21" spans="3:17" ht="13.5" customHeight="1">
      <c r="C21" s="190"/>
      <c r="D21" s="190"/>
      <c r="E21" s="190"/>
      <c r="K21" s="38"/>
      <c r="L21" s="39"/>
      <c r="M21" s="39"/>
      <c r="N21" s="39"/>
      <c r="O21" s="39"/>
      <c r="P21" s="39"/>
      <c r="Q21" s="40"/>
    </row>
    <row r="22" spans="4:16" ht="13.5" customHeight="1">
      <c r="D22" s="190"/>
      <c r="E22" s="190"/>
      <c r="L22" s="419" t="s">
        <v>139</v>
      </c>
      <c r="M22" s="419"/>
      <c r="N22" s="419"/>
      <c r="O22" s="419"/>
      <c r="P22" s="419"/>
    </row>
    <row r="23" ht="13.5" customHeight="1">
      <c r="D23" s="190"/>
    </row>
    <row r="24" ht="13.5" customHeight="1">
      <c r="D24" s="190"/>
    </row>
    <row r="25" spans="7:13" ht="13.5" customHeight="1">
      <c r="G25" s="420"/>
      <c r="H25" s="420"/>
      <c r="I25" s="420"/>
      <c r="J25" s="420"/>
      <c r="K25" s="420"/>
      <c r="L25" s="420"/>
      <c r="M25" s="420"/>
    </row>
    <row r="27" spans="9:13" ht="12">
      <c r="I27" s="185"/>
      <c r="J27" s="35"/>
      <c r="K27" s="184"/>
      <c r="L27" s="185"/>
      <c r="M27" s="188"/>
    </row>
    <row r="34" spans="7:8" ht="12">
      <c r="G34" s="203"/>
      <c r="H34" s="203"/>
    </row>
    <row r="35" spans="7:8" ht="12">
      <c r="G35" s="203"/>
      <c r="H35" s="203"/>
    </row>
    <row r="47" ht="12">
      <c r="M47" s="133"/>
    </row>
  </sheetData>
  <sheetProtection/>
  <mergeCells count="16"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  <mergeCell ref="E9:F9"/>
    <mergeCell ref="G11:H11"/>
    <mergeCell ref="G3:I3"/>
    <mergeCell ref="E8:F8"/>
    <mergeCell ref="O4:P4"/>
    <mergeCell ref="L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="150" zoomScaleNormal="150" zoomScalePageLayoutView="0" workbookViewId="0" topLeftCell="A1">
      <selection activeCell="H16" sqref="H16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61" t="s">
        <v>141</v>
      </c>
      <c r="C2" s="462"/>
      <c r="D2" s="462"/>
      <c r="E2" s="462"/>
      <c r="F2" s="462"/>
      <c r="G2" s="462"/>
      <c r="H2" s="463"/>
      <c r="I2" s="8"/>
      <c r="J2" s="12"/>
    </row>
    <row r="3" spans="2:16" s="2" customFormat="1" ht="13.5" customHeight="1">
      <c r="B3" s="443"/>
      <c r="C3" s="444"/>
      <c r="D3" s="14" t="s">
        <v>36</v>
      </c>
      <c r="E3" s="15" t="s">
        <v>129</v>
      </c>
      <c r="F3" s="15" t="s">
        <v>37</v>
      </c>
      <c r="G3" s="15" t="s">
        <v>38</v>
      </c>
      <c r="H3" s="284" t="s">
        <v>39</v>
      </c>
      <c r="I3" s="138"/>
      <c r="J3" s="440" t="s">
        <v>137</v>
      </c>
      <c r="K3" s="441"/>
      <c r="M3" s="155"/>
      <c r="N3" s="155"/>
      <c r="O3" s="155"/>
      <c r="P3" s="155"/>
    </row>
    <row r="4" spans="2:16" s="2" customFormat="1" ht="13.5" customHeight="1">
      <c r="B4" s="447" t="s">
        <v>32</v>
      </c>
      <c r="C4" s="448"/>
      <c r="D4" s="288">
        <v>300000</v>
      </c>
      <c r="E4" s="291">
        <v>334000</v>
      </c>
      <c r="F4" s="13">
        <f>SUM(D4:E4)</f>
        <v>634000</v>
      </c>
      <c r="G4" s="13">
        <f>6*K17</f>
        <v>11549.82</v>
      </c>
      <c r="H4" s="285">
        <f>F4-G4</f>
        <v>622450.18</v>
      </c>
      <c r="I4" s="464" t="s">
        <v>139</v>
      </c>
      <c r="J4" s="267" t="s">
        <v>86</v>
      </c>
      <c r="K4" s="268">
        <v>2482.97</v>
      </c>
      <c r="L4" s="154" t="s">
        <v>106</v>
      </c>
      <c r="M4" s="465"/>
      <c r="N4" s="465"/>
      <c r="O4" s="157"/>
      <c r="P4" s="155"/>
    </row>
    <row r="5" spans="2:12" s="2" customFormat="1" ht="13.5" customHeight="1">
      <c r="B5" s="447" t="s">
        <v>40</v>
      </c>
      <c r="C5" s="448"/>
      <c r="D5" s="289">
        <v>340000</v>
      </c>
      <c r="E5" s="292">
        <v>367000</v>
      </c>
      <c r="F5" s="13">
        <f>SUM(D5:E5)</f>
        <v>707000</v>
      </c>
      <c r="G5" s="13">
        <f>6*K17</f>
        <v>11549.82</v>
      </c>
      <c r="H5" s="285">
        <f>F5-G5</f>
        <v>695450.18</v>
      </c>
      <c r="I5" s="464"/>
      <c r="J5" s="267" t="s">
        <v>86</v>
      </c>
      <c r="K5" s="268">
        <v>2482.97</v>
      </c>
      <c r="L5" s="157"/>
    </row>
    <row r="6" spans="2:12" s="2" customFormat="1" ht="13.5" customHeight="1" thickBot="1">
      <c r="B6" s="466" t="s">
        <v>26</v>
      </c>
      <c r="C6" s="467"/>
      <c r="D6" s="290">
        <v>812000</v>
      </c>
      <c r="E6" s="293">
        <v>748000</v>
      </c>
      <c r="F6" s="286">
        <f>SUM(D6:E6)</f>
        <v>1560000</v>
      </c>
      <c r="G6" s="286">
        <f>10*K18</f>
        <v>21224.1</v>
      </c>
      <c r="H6" s="287">
        <f>F6-G6</f>
        <v>1538775.9</v>
      </c>
      <c r="I6" s="464"/>
      <c r="J6" s="269" t="s">
        <v>47</v>
      </c>
      <c r="K6" s="268">
        <v>1487.39</v>
      </c>
      <c r="L6" s="157"/>
    </row>
    <row r="7" spans="2:15" s="2" customFormat="1" ht="13.5" customHeight="1" thickBot="1">
      <c r="B7" s="18"/>
      <c r="C7" s="18"/>
      <c r="D7" s="19"/>
      <c r="E7" s="19" t="s">
        <v>130</v>
      </c>
      <c r="F7" s="19"/>
      <c r="G7" s="19"/>
      <c r="H7" s="280"/>
      <c r="I7" s="20"/>
      <c r="J7" s="278" t="s">
        <v>99</v>
      </c>
      <c r="K7" s="279">
        <v>0.423893</v>
      </c>
      <c r="M7" s="445" t="s">
        <v>108</v>
      </c>
      <c r="N7" s="446"/>
      <c r="O7" s="157"/>
    </row>
    <row r="8" spans="2:15" s="2" customFormat="1" ht="13.5" customHeight="1" thickBot="1">
      <c r="B8" s="197" t="s">
        <v>122</v>
      </c>
      <c r="C8" s="8"/>
      <c r="D8" s="8"/>
      <c r="E8" s="8"/>
      <c r="F8" s="8"/>
      <c r="G8" s="8"/>
      <c r="H8" s="19"/>
      <c r="I8" s="19"/>
      <c r="J8" s="270"/>
      <c r="K8" s="223"/>
      <c r="M8" s="221" t="s">
        <v>124</v>
      </c>
      <c r="N8" s="294">
        <v>5.3059</v>
      </c>
      <c r="O8" s="154"/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440" t="s">
        <v>138</v>
      </c>
      <c r="K9" s="441"/>
      <c r="L9" s="8"/>
      <c r="M9" s="221" t="s">
        <v>125</v>
      </c>
      <c r="N9" s="223"/>
      <c r="O9" s="157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8"/>
      <c r="I10" s="19"/>
      <c r="J10" s="449" t="s">
        <v>100</v>
      </c>
      <c r="K10" s="456">
        <v>851.68</v>
      </c>
      <c r="L10" s="45"/>
      <c r="M10" s="224"/>
      <c r="N10" s="225"/>
      <c r="O10" s="158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450"/>
      <c r="K11" s="457"/>
      <c r="L11" s="45" t="s">
        <v>139</v>
      </c>
      <c r="M11" s="445" t="s">
        <v>109</v>
      </c>
      <c r="N11" s="446"/>
      <c r="O11" s="157"/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0"/>
      <c r="K12" s="223"/>
      <c r="L12" s="45"/>
      <c r="M12" s="226" t="s">
        <v>107</v>
      </c>
      <c r="N12" s="222">
        <v>2.2</v>
      </c>
      <c r="O12" s="154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440" t="s">
        <v>128</v>
      </c>
      <c r="K13" s="441"/>
      <c r="L13" s="45"/>
      <c r="M13" s="227"/>
      <c r="N13" s="228"/>
      <c r="O13" s="159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6" t="s">
        <v>73</v>
      </c>
      <c r="K14" s="277">
        <v>0</v>
      </c>
      <c r="L14" s="183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0"/>
      <c r="K15" s="223"/>
      <c r="L15" s="45"/>
      <c r="M15" s="206"/>
      <c r="N15" s="160"/>
      <c r="O15" s="155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452" t="s">
        <v>90</v>
      </c>
      <c r="K16" s="453"/>
      <c r="M16" s="206"/>
      <c r="N16" s="156"/>
      <c r="O16" s="155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1" t="s">
        <v>91</v>
      </c>
      <c r="K17" s="272">
        <v>1924.97</v>
      </c>
      <c r="L17" s="460" t="s">
        <v>139</v>
      </c>
      <c r="M17" s="202"/>
      <c r="N17" s="442"/>
      <c r="O17" s="442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3" t="s">
        <v>92</v>
      </c>
      <c r="K18" s="272">
        <v>2122.41</v>
      </c>
      <c r="L18" s="460"/>
      <c r="M18" s="202"/>
      <c r="N18" s="442"/>
      <c r="O18" s="442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3" t="s">
        <v>93</v>
      </c>
      <c r="K19" s="272">
        <v>545</v>
      </c>
      <c r="L19" s="459" t="s">
        <v>139</v>
      </c>
      <c r="M19" s="202"/>
      <c r="N19" s="442"/>
      <c r="O19" s="442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4" t="s">
        <v>94</v>
      </c>
      <c r="K20" s="275">
        <v>585</v>
      </c>
      <c r="L20" s="459"/>
      <c r="M20" s="202"/>
      <c r="N20" s="442"/>
      <c r="O20" s="442"/>
    </row>
    <row r="21" spans="2:15" s="2" customFormat="1" ht="13.5" customHeight="1">
      <c r="B21" s="198">
        <v>2012</v>
      </c>
      <c r="C21" s="199">
        <v>0</v>
      </c>
      <c r="D21" s="266">
        <v>10</v>
      </c>
      <c r="E21" s="266">
        <v>15</v>
      </c>
      <c r="F21" s="266">
        <v>4</v>
      </c>
      <c r="G21" s="201">
        <f t="shared" si="0"/>
        <v>29</v>
      </c>
      <c r="H21" s="8"/>
      <c r="I21" s="8"/>
      <c r="J21" s="8"/>
      <c r="K21" s="178"/>
      <c r="L21" s="35"/>
      <c r="M21" s="202"/>
      <c r="N21" s="442"/>
      <c r="O21" s="442"/>
    </row>
    <row r="22" spans="2:15" s="2" customFormat="1" ht="13.5" customHeight="1" thickBot="1">
      <c r="B22" s="198">
        <v>2011</v>
      </c>
      <c r="C22" s="199">
        <v>0</v>
      </c>
      <c r="D22" s="200">
        <v>0</v>
      </c>
      <c r="E22" s="200">
        <v>0</v>
      </c>
      <c r="F22" s="200">
        <v>0</v>
      </c>
      <c r="G22" s="201">
        <f t="shared" si="0"/>
        <v>0</v>
      </c>
      <c r="H22" s="8"/>
      <c r="I22" s="8"/>
      <c r="J22" s="458" t="s">
        <v>140</v>
      </c>
      <c r="K22" s="458"/>
      <c r="L22" s="35"/>
      <c r="M22" s="202"/>
      <c r="N22" s="442"/>
      <c r="O22" s="442"/>
    </row>
    <row r="23" spans="2:19" s="2" customFormat="1" ht="15" customHeight="1">
      <c r="B23" s="198">
        <v>2010</v>
      </c>
      <c r="C23" s="199">
        <v>0</v>
      </c>
      <c r="D23" s="352">
        <v>5</v>
      </c>
      <c r="E23" s="266">
        <v>2</v>
      </c>
      <c r="F23" s="266">
        <v>6</v>
      </c>
      <c r="G23" s="201">
        <v>0</v>
      </c>
      <c r="H23" s="8"/>
      <c r="I23" s="8"/>
      <c r="J23" s="452" t="s">
        <v>87</v>
      </c>
      <c r="K23" s="453"/>
      <c r="L23" s="35"/>
      <c r="M23" s="202"/>
      <c r="N23" s="442"/>
      <c r="O23" s="442"/>
      <c r="P23"/>
      <c r="Q23" s="149"/>
      <c r="R23" s="149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1" t="s">
        <v>88</v>
      </c>
      <c r="K24" s="349">
        <v>196</v>
      </c>
      <c r="L24" s="35" t="s">
        <v>139</v>
      </c>
      <c r="M24" s="202"/>
      <c r="N24" s="442"/>
      <c r="O24" s="442"/>
      <c r="P24" s="143"/>
      <c r="Q24" s="142"/>
      <c r="R24" s="142"/>
      <c r="S24" s="142"/>
    </row>
    <row r="25" spans="5:19" s="2" customFormat="1" ht="10.5" customHeight="1">
      <c r="E25" s="455" t="s">
        <v>133</v>
      </c>
      <c r="F25" s="455"/>
      <c r="H25" s="8"/>
      <c r="I25" s="8"/>
      <c r="J25" s="273" t="s">
        <v>104</v>
      </c>
      <c r="K25" s="350">
        <v>90.94</v>
      </c>
      <c r="L25" s="33"/>
      <c r="M25" s="202"/>
      <c r="N25" s="442"/>
      <c r="O25" s="442"/>
      <c r="P25" s="143"/>
      <c r="Q25" s="142"/>
      <c r="R25" s="142"/>
      <c r="S25" s="142"/>
    </row>
    <row r="26" spans="2:22" s="2" customFormat="1" ht="13.5" customHeight="1">
      <c r="B26" s="454" t="s">
        <v>126</v>
      </c>
      <c r="C26" s="454"/>
      <c r="D26" s="187"/>
      <c r="E26" s="187"/>
      <c r="F26" s="187"/>
      <c r="G26" s="187"/>
      <c r="H26" s="168"/>
      <c r="I26" s="34"/>
      <c r="J26" s="273" t="s">
        <v>105</v>
      </c>
      <c r="K26" s="350">
        <f>163.85*12</f>
        <v>1966.1999999999998</v>
      </c>
      <c r="L26" s="283"/>
      <c r="M26" s="202"/>
      <c r="N26" s="155"/>
      <c r="O26" s="155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116</v>
      </c>
      <c r="E27" s="43">
        <v>21</v>
      </c>
      <c r="F27" s="43">
        <v>14</v>
      </c>
      <c r="G27" s="44">
        <f>SUM(C27:F27)</f>
        <v>151</v>
      </c>
      <c r="H27" s="8"/>
      <c r="I27" s="8"/>
      <c r="J27" s="274" t="s">
        <v>89</v>
      </c>
      <c r="K27" s="351">
        <f>K26+K25</f>
        <v>2057.14</v>
      </c>
      <c r="L27" s="33"/>
      <c r="M27" s="202"/>
      <c r="N27" s="155"/>
      <c r="O27" s="155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48" t="s">
        <v>106</v>
      </c>
      <c r="M28" s="155"/>
      <c r="N28" s="155"/>
      <c r="O28" s="155"/>
      <c r="P28" s="143"/>
      <c r="Q28" s="142"/>
      <c r="R28" s="142"/>
      <c r="S28" s="142"/>
    </row>
    <row r="29" spans="2:19" ht="12.75">
      <c r="B29" s="207" t="s">
        <v>43</v>
      </c>
      <c r="C29" s="208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8">
        <v>5.92</v>
      </c>
      <c r="E29" s="208">
        <v>4.79</v>
      </c>
      <c r="F29" s="208">
        <v>9.6</v>
      </c>
      <c r="G29" s="208">
        <v>5.98</v>
      </c>
      <c r="J29" s="204" t="s">
        <v>95</v>
      </c>
      <c r="K29" s="205" t="s">
        <v>106</v>
      </c>
      <c r="M29" s="155"/>
      <c r="N29" s="155"/>
      <c r="O29" s="161"/>
      <c r="P29" s="143"/>
      <c r="Q29" s="142"/>
      <c r="R29" s="142"/>
      <c r="S29" s="142"/>
    </row>
    <row r="30" spans="2:19" ht="12.75">
      <c r="B30" s="41" t="s">
        <v>123</v>
      </c>
      <c r="C30" s="175"/>
      <c r="D30" s="176">
        <f>((D24-D27)/D24)</f>
        <v>0.03333333333333333</v>
      </c>
      <c r="E30" s="176">
        <f>((E24-E27)/E24)</f>
        <v>0.125</v>
      </c>
      <c r="F30" s="176">
        <f>((F24-F27)/F24)</f>
        <v>-0.4</v>
      </c>
      <c r="G30" s="176">
        <f>((G24-G27)/G24)</f>
        <v>0.01948051948051948</v>
      </c>
      <c r="J30" s="60" t="s">
        <v>96</v>
      </c>
      <c r="K30" s="165">
        <v>0</v>
      </c>
      <c r="M30" s="162"/>
      <c r="N30" s="155"/>
      <c r="O30" s="161"/>
      <c r="P30" s="143"/>
      <c r="Q30" s="142"/>
      <c r="R30" s="142"/>
      <c r="S30" s="142"/>
    </row>
    <row r="31" spans="10:19" ht="12.75">
      <c r="J31" s="60" t="s">
        <v>101</v>
      </c>
      <c r="K31" s="165">
        <v>0</v>
      </c>
      <c r="M31" s="154"/>
      <c r="N31" s="161"/>
      <c r="O31" s="161"/>
      <c r="P31" s="141"/>
      <c r="Q31" s="142"/>
      <c r="R31" s="142"/>
      <c r="S31" s="142"/>
    </row>
    <row r="32" spans="6:19" ht="12.75">
      <c r="F32" s="169"/>
      <c r="J32" s="60" t="s">
        <v>102</v>
      </c>
      <c r="K32" s="165">
        <v>0</v>
      </c>
      <c r="M32" s="161"/>
      <c r="N32" s="161"/>
      <c r="O32" s="161"/>
      <c r="P32" s="143"/>
      <c r="Q32" s="142"/>
      <c r="R32" s="142"/>
      <c r="S32" s="142"/>
    </row>
    <row r="33" spans="2:19" ht="12.75">
      <c r="B33" s="196" t="s">
        <v>127</v>
      </c>
      <c r="C33" s="196"/>
      <c r="D33" s="196"/>
      <c r="J33" s="61" t="s">
        <v>103</v>
      </c>
      <c r="K33" s="165">
        <v>0</v>
      </c>
      <c r="M33" s="161"/>
      <c r="N33" s="161"/>
      <c r="O33" s="161"/>
      <c r="P33" s="143"/>
      <c r="Q33" s="142"/>
      <c r="R33" s="142"/>
      <c r="S33" s="142"/>
    </row>
    <row r="34" spans="2:19" ht="15">
      <c r="B34" s="172" t="s">
        <v>120</v>
      </c>
      <c r="C34" s="172" t="s">
        <v>112</v>
      </c>
      <c r="D34" s="172" t="s">
        <v>113</v>
      </c>
      <c r="E34" s="172" t="s">
        <v>21</v>
      </c>
      <c r="J34" s="61" t="s">
        <v>119</v>
      </c>
      <c r="K34" s="165">
        <v>0</v>
      </c>
      <c r="M34" s="163"/>
      <c r="N34" s="161"/>
      <c r="O34" s="161"/>
      <c r="P34" s="141"/>
      <c r="Q34" s="142"/>
      <c r="R34" s="142"/>
      <c r="S34" s="142"/>
    </row>
    <row r="35" spans="2:15" ht="12.75">
      <c r="B35" s="173" t="s">
        <v>26</v>
      </c>
      <c r="C35" s="174">
        <v>20</v>
      </c>
      <c r="D35" s="174">
        <v>0</v>
      </c>
      <c r="E35" s="174">
        <f>D35+C35</f>
        <v>20</v>
      </c>
      <c r="J35" s="62" t="s">
        <v>89</v>
      </c>
      <c r="K35" s="166">
        <v>0</v>
      </c>
      <c r="M35" s="177"/>
      <c r="N35" s="161"/>
      <c r="O35" s="161"/>
    </row>
    <row r="36" spans="2:15" ht="12.75">
      <c r="B36" s="173" t="s">
        <v>114</v>
      </c>
      <c r="C36" s="174">
        <v>156</v>
      </c>
      <c r="D36" s="174">
        <v>0</v>
      </c>
      <c r="E36" s="174">
        <f>D36+C36</f>
        <v>156</v>
      </c>
      <c r="J36" s="154"/>
      <c r="K36" s="164"/>
      <c r="M36" s="166"/>
      <c r="N36" s="161"/>
      <c r="O36" s="161"/>
    </row>
    <row r="37" spans="2:15" ht="12.75">
      <c r="B37" s="173" t="s">
        <v>115</v>
      </c>
      <c r="C37" s="174">
        <v>41</v>
      </c>
      <c r="D37" s="174">
        <v>0</v>
      </c>
      <c r="E37" s="174">
        <f>D37+C37</f>
        <v>41</v>
      </c>
      <c r="M37" s="161"/>
      <c r="N37" s="161"/>
      <c r="O37" s="161"/>
    </row>
    <row r="38" spans="13:21" ht="12.75">
      <c r="M38" s="161"/>
      <c r="N38" s="161"/>
      <c r="O38" s="161"/>
      <c r="Q38" s="146"/>
      <c r="R38" s="146"/>
      <c r="S38" s="146"/>
      <c r="T38" s="147"/>
      <c r="U38" s="147"/>
    </row>
    <row r="39" spans="2:5" ht="15">
      <c r="B39" s="172" t="s">
        <v>120</v>
      </c>
      <c r="C39" s="172" t="s">
        <v>112</v>
      </c>
      <c r="D39" s="172" t="s">
        <v>113</v>
      </c>
      <c r="E39" s="172" t="s">
        <v>21</v>
      </c>
    </row>
    <row r="40" spans="2:21" ht="12.75">
      <c r="B40" s="173" t="s">
        <v>26</v>
      </c>
      <c r="C40" s="149">
        <f>C35/E35</f>
        <v>1</v>
      </c>
      <c r="D40" s="149">
        <f>D35/E35</f>
        <v>0</v>
      </c>
      <c r="E40" s="174">
        <f>D40+C40</f>
        <v>1</v>
      </c>
      <c r="J40" s="451"/>
      <c r="Q40" s="146"/>
      <c r="R40" s="146"/>
      <c r="S40" s="146"/>
      <c r="T40" s="147"/>
      <c r="U40" s="147"/>
    </row>
    <row r="41" spans="2:10" ht="12.75" customHeight="1">
      <c r="B41" s="173" t="s">
        <v>114</v>
      </c>
      <c r="C41" s="149">
        <f>C36/E36</f>
        <v>1</v>
      </c>
      <c r="D41" s="149">
        <f>D36/E36</f>
        <v>0</v>
      </c>
      <c r="E41" s="174">
        <f>D41+C41</f>
        <v>1</v>
      </c>
      <c r="J41" s="451"/>
    </row>
    <row r="42" spans="2:10" ht="12.75" customHeight="1">
      <c r="B42" s="173" t="s">
        <v>115</v>
      </c>
      <c r="C42" s="149">
        <f>C37/E37</f>
        <v>1</v>
      </c>
      <c r="D42" s="149">
        <f>D37/E37</f>
        <v>0</v>
      </c>
      <c r="E42" s="174">
        <f>D42+C42</f>
        <v>1</v>
      </c>
      <c r="J42" s="451"/>
    </row>
    <row r="43" spans="9:11" ht="12.75" customHeight="1">
      <c r="I43" s="34"/>
      <c r="J43" s="451"/>
      <c r="K43" s="34"/>
    </row>
    <row r="44" spans="10:11" ht="12.75" customHeight="1">
      <c r="J44" s="451"/>
      <c r="K44" s="147"/>
    </row>
    <row r="45" ht="12.75" customHeight="1">
      <c r="J45" s="451"/>
    </row>
    <row r="48" spans="8:11" ht="11.25">
      <c r="H48" s="167"/>
      <c r="K48" s="139"/>
    </row>
    <row r="49" spans="3:8" ht="11.25">
      <c r="C49" s="439"/>
      <c r="D49" s="439"/>
      <c r="E49" s="19"/>
      <c r="F49" s="19"/>
      <c r="H49" s="167"/>
    </row>
    <row r="50" spans="3:8" ht="11.25">
      <c r="C50" s="439"/>
      <c r="D50" s="439"/>
      <c r="E50" s="19"/>
      <c r="F50" s="19"/>
      <c r="H50" s="167"/>
    </row>
  </sheetData>
  <sheetProtection/>
  <mergeCells count="25">
    <mergeCell ref="L19:L20"/>
    <mergeCell ref="L17:L18"/>
    <mergeCell ref="B2:H2"/>
    <mergeCell ref="I4:I6"/>
    <mergeCell ref="M4:N4"/>
    <mergeCell ref="M11:N11"/>
    <mergeCell ref="B6:C6"/>
    <mergeCell ref="J40:J45"/>
    <mergeCell ref="J9:K9"/>
    <mergeCell ref="J23:K23"/>
    <mergeCell ref="J16:K16"/>
    <mergeCell ref="B26:C26"/>
    <mergeCell ref="E25:F25"/>
    <mergeCell ref="K10:K11"/>
    <mergeCell ref="J22:K22"/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30" zoomScaleNormal="130" zoomScalePageLayoutView="0" workbookViewId="0" topLeftCell="A37">
      <selection activeCell="O52" sqref="O52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502" t="s">
        <v>132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29" t="s">
        <v>24</v>
      </c>
      <c r="C4" s="516" t="s">
        <v>32</v>
      </c>
      <c r="D4" s="517"/>
      <c r="E4" s="517"/>
      <c r="F4" s="517" t="s">
        <v>40</v>
      </c>
      <c r="G4" s="517" t="s">
        <v>40</v>
      </c>
      <c r="H4" s="517"/>
      <c r="I4" s="517" t="s">
        <v>26</v>
      </c>
      <c r="J4" s="517"/>
      <c r="K4" s="518"/>
      <c r="L4" s="503" t="s">
        <v>27</v>
      </c>
      <c r="M4" s="504"/>
      <c r="N4" s="46"/>
      <c r="O4" s="46"/>
      <c r="P4" s="47"/>
    </row>
    <row r="5" spans="2:16" ht="13.5" customHeight="1">
      <c r="B5" s="230" t="s">
        <v>135</v>
      </c>
      <c r="C5" s="520">
        <v>24</v>
      </c>
      <c r="D5" s="521"/>
      <c r="E5" s="521"/>
      <c r="F5" s="511">
        <v>120</v>
      </c>
      <c r="G5" s="511"/>
      <c r="H5" s="511"/>
      <c r="I5" s="511">
        <v>10</v>
      </c>
      <c r="J5" s="511"/>
      <c r="K5" s="512"/>
      <c r="L5" s="513">
        <f>SUM(C5:K5)</f>
        <v>154</v>
      </c>
      <c r="M5" s="514"/>
      <c r="N5" s="46"/>
      <c r="O5" s="46"/>
      <c r="P5" s="47"/>
    </row>
    <row r="6" spans="2:14" ht="13.5" customHeight="1">
      <c r="B6" s="231" t="s">
        <v>142</v>
      </c>
      <c r="C6" s="523">
        <v>41</v>
      </c>
      <c r="D6" s="524"/>
      <c r="E6" s="525"/>
      <c r="F6" s="526">
        <v>135</v>
      </c>
      <c r="G6" s="524"/>
      <c r="H6" s="525"/>
      <c r="I6" s="526">
        <v>20</v>
      </c>
      <c r="J6" s="524"/>
      <c r="K6" s="527"/>
      <c r="L6" s="523">
        <f>SUM(C6:K6)</f>
        <v>196</v>
      </c>
      <c r="M6" s="528"/>
      <c r="N6" s="46"/>
    </row>
    <row r="7" spans="2:16" ht="13.5" customHeight="1">
      <c r="B7" s="230" t="s">
        <v>63</v>
      </c>
      <c r="C7" s="522">
        <f>'FROTA E CUSTOS'!E27</f>
        <v>21</v>
      </c>
      <c r="D7" s="511"/>
      <c r="E7" s="511"/>
      <c r="F7" s="511">
        <f>'FROTA E CUSTOS'!D27</f>
        <v>116</v>
      </c>
      <c r="G7" s="511"/>
      <c r="H7" s="511"/>
      <c r="I7" s="511">
        <f>'FROTA E CUSTOS'!F27</f>
        <v>14</v>
      </c>
      <c r="J7" s="511"/>
      <c r="K7" s="512"/>
      <c r="L7" s="513">
        <v>151</v>
      </c>
      <c r="M7" s="514"/>
      <c r="N7" s="46"/>
      <c r="O7" s="46"/>
      <c r="P7" s="47"/>
    </row>
    <row r="8" spans="2:16" ht="13.5" customHeight="1">
      <c r="B8" s="230" t="s">
        <v>64</v>
      </c>
      <c r="C8" s="479">
        <f>'KM, PASSAGEIROS E PESSOAL'!G9</f>
        <v>168514.031</v>
      </c>
      <c r="D8" s="480"/>
      <c r="E8" s="71">
        <f>C8/L8</f>
        <v>0.16954618818074396</v>
      </c>
      <c r="F8" s="529">
        <f>'KM, PASSAGEIROS E PESSOAL'!H9</f>
        <v>747409.5719999999</v>
      </c>
      <c r="G8" s="480"/>
      <c r="H8" s="71">
        <f>F8/L8</f>
        <v>0.7519874943968393</v>
      </c>
      <c r="I8" s="529">
        <f>'KM, PASSAGEIROS E PESSOAL'!I9</f>
        <v>77988.633</v>
      </c>
      <c r="J8" s="480"/>
      <c r="K8" s="72">
        <f>I8/L8</f>
        <v>0.07846631742241678</v>
      </c>
      <c r="L8" s="505">
        <f>SUM(C8,F8,I8)</f>
        <v>993912.2359999999</v>
      </c>
      <c r="M8" s="506"/>
      <c r="N8" s="46"/>
      <c r="O8" s="46"/>
      <c r="P8" s="47"/>
    </row>
    <row r="9" spans="2:16" ht="13.5" customHeight="1">
      <c r="B9" s="230" t="s">
        <v>110</v>
      </c>
      <c r="C9" s="479">
        <f>E9*C8</f>
        <v>0</v>
      </c>
      <c r="D9" s="480"/>
      <c r="E9" s="71">
        <f>'FROTA E CUSTOS'!D42</f>
        <v>0</v>
      </c>
      <c r="F9" s="479">
        <f>H9*F8</f>
        <v>0</v>
      </c>
      <c r="G9" s="480"/>
      <c r="H9" s="71">
        <f>'FROTA E CUSTOS'!D41</f>
        <v>0</v>
      </c>
      <c r="I9" s="479">
        <f>K9*I8</f>
        <v>0</v>
      </c>
      <c r="J9" s="480"/>
      <c r="K9" s="72">
        <f>'FROTA E CUSTOS'!D40</f>
        <v>0</v>
      </c>
      <c r="L9" s="472">
        <f>(I9+F9+C9)/L8</f>
        <v>0</v>
      </c>
      <c r="M9" s="473"/>
      <c r="N9" s="46"/>
      <c r="O9" s="46"/>
      <c r="P9" s="47"/>
    </row>
    <row r="10" spans="2:16" ht="13.5" customHeight="1">
      <c r="B10" s="230" t="s">
        <v>111</v>
      </c>
      <c r="C10" s="479">
        <f>E10*C8</f>
        <v>168514.031</v>
      </c>
      <c r="D10" s="480"/>
      <c r="E10" s="71">
        <f>'FROTA E CUSTOS'!C42</f>
        <v>1</v>
      </c>
      <c r="F10" s="479">
        <f>H10*F8</f>
        <v>747409.5719999999</v>
      </c>
      <c r="G10" s="480"/>
      <c r="H10" s="71">
        <f>'FROTA E CUSTOS'!C41</f>
        <v>1</v>
      </c>
      <c r="I10" s="479">
        <f>K10*I8</f>
        <v>77988.633</v>
      </c>
      <c r="J10" s="480"/>
      <c r="K10" s="72">
        <f>'FROTA E CUSTOS'!C40</f>
        <v>1</v>
      </c>
      <c r="L10" s="472">
        <f>(I10+F10+C10)/L8</f>
        <v>1</v>
      </c>
      <c r="M10" s="473"/>
      <c r="N10" s="46"/>
      <c r="P10" s="5"/>
    </row>
    <row r="11" spans="2:14" ht="13.5" customHeight="1">
      <c r="B11" s="230" t="s">
        <v>65</v>
      </c>
      <c r="C11" s="510">
        <f>C8/C7</f>
        <v>8024.477666666666</v>
      </c>
      <c r="D11" s="498"/>
      <c r="E11" s="498"/>
      <c r="F11" s="498">
        <f>F8/F7</f>
        <v>6443.185965517241</v>
      </c>
      <c r="G11" s="498"/>
      <c r="H11" s="498"/>
      <c r="I11" s="498">
        <f>I8/I7</f>
        <v>5570.616642857143</v>
      </c>
      <c r="J11" s="498"/>
      <c r="K11" s="519"/>
      <c r="L11" s="496">
        <f>L8/L7</f>
        <v>6582.200238410595</v>
      </c>
      <c r="M11" s="497"/>
      <c r="N11" s="46"/>
    </row>
    <row r="12" spans="2:16" ht="13.5" customHeight="1">
      <c r="B12" s="231" t="s">
        <v>136</v>
      </c>
      <c r="C12" s="481">
        <f>C8/C6</f>
        <v>4110.098317073171</v>
      </c>
      <c r="D12" s="482"/>
      <c r="E12" s="482"/>
      <c r="F12" s="499">
        <f>F8/F6</f>
        <v>5536.3672</v>
      </c>
      <c r="G12" s="500"/>
      <c r="H12" s="501"/>
      <c r="I12" s="499">
        <f>I8/I6</f>
        <v>3899.43165</v>
      </c>
      <c r="J12" s="500"/>
      <c r="K12" s="501"/>
      <c r="L12" s="209"/>
      <c r="M12" s="232"/>
      <c r="N12" s="46"/>
      <c r="P12" s="5"/>
    </row>
    <row r="13" spans="2:16" ht="13.5" customHeight="1">
      <c r="B13" s="230" t="s">
        <v>134</v>
      </c>
      <c r="C13" s="510">
        <f>C8/C5</f>
        <v>7021.4179583333325</v>
      </c>
      <c r="D13" s="498"/>
      <c r="E13" s="498"/>
      <c r="F13" s="498">
        <f>F8/F5</f>
        <v>6228.4131</v>
      </c>
      <c r="G13" s="498"/>
      <c r="H13" s="498"/>
      <c r="I13" s="498">
        <f>I8/I5</f>
        <v>7798.8633</v>
      </c>
      <c r="J13" s="498"/>
      <c r="K13" s="519"/>
      <c r="L13" s="496">
        <f>L8/L5</f>
        <v>6453.975558441558</v>
      </c>
      <c r="M13" s="497"/>
      <c r="N13" s="46"/>
      <c r="P13" s="5"/>
    </row>
    <row r="14" spans="2:16" ht="13.5" customHeight="1">
      <c r="B14" s="507" t="s">
        <v>66</v>
      </c>
      <c r="C14" s="508"/>
      <c r="D14" s="508"/>
      <c r="E14" s="508"/>
      <c r="F14" s="508"/>
      <c r="G14" s="508"/>
      <c r="H14" s="508"/>
      <c r="I14" s="508"/>
      <c r="J14" s="508"/>
      <c r="K14" s="509"/>
      <c r="L14" s="402">
        <f>'KM, PASSAGEIROS E PESSOAL'!C14</f>
        <v>1744788</v>
      </c>
      <c r="M14" s="403"/>
      <c r="N14" s="134"/>
      <c r="P14" s="5"/>
    </row>
    <row r="15" spans="2:16" ht="9" customHeight="1"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236"/>
      <c r="N15" s="46"/>
      <c r="P15" s="5"/>
    </row>
    <row r="16" spans="2:20" ht="13.5" customHeight="1">
      <c r="B16" s="488" t="s">
        <v>28</v>
      </c>
      <c r="C16" s="490" t="s">
        <v>32</v>
      </c>
      <c r="D16" s="470"/>
      <c r="E16" s="471"/>
      <c r="F16" s="490" t="s">
        <v>40</v>
      </c>
      <c r="G16" s="470" t="s">
        <v>40</v>
      </c>
      <c r="H16" s="495"/>
      <c r="I16" s="469" t="s">
        <v>26</v>
      </c>
      <c r="J16" s="470"/>
      <c r="K16" s="471"/>
      <c r="L16" s="490" t="s">
        <v>67</v>
      </c>
      <c r="M16" s="491"/>
      <c r="N16" s="46"/>
      <c r="P16" s="5"/>
      <c r="T16" s="5">
        <v>12</v>
      </c>
    </row>
    <row r="17" spans="2:16" ht="13.5" customHeight="1">
      <c r="B17" s="489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8" t="s">
        <v>2</v>
      </c>
      <c r="N17" s="46"/>
      <c r="P17" s="5"/>
    </row>
    <row r="18" spans="2:16" ht="9.75" customHeight="1">
      <c r="B18" s="233"/>
      <c r="C18" s="235"/>
      <c r="D18" s="235"/>
      <c r="E18" s="235"/>
      <c r="F18" s="235"/>
      <c r="G18" s="235"/>
      <c r="H18" s="235"/>
      <c r="I18" s="235"/>
      <c r="J18" s="235"/>
      <c r="K18" s="235"/>
      <c r="L18" s="234"/>
      <c r="M18" s="239"/>
      <c r="N18" s="46"/>
      <c r="P18" s="5"/>
    </row>
    <row r="19" spans="2:16" ht="15" customHeight="1">
      <c r="B19" s="240" t="s">
        <v>74</v>
      </c>
      <c r="C19" s="97"/>
      <c r="D19" s="98"/>
      <c r="E19" s="99">
        <f>SUM(E20:E27)</f>
        <v>2.1131924645714286</v>
      </c>
      <c r="F19" s="100"/>
      <c r="G19" s="101"/>
      <c r="H19" s="102">
        <f>SUM(H20:H27)</f>
        <v>2.414213604571428</v>
      </c>
      <c r="I19" s="103"/>
      <c r="J19" s="101"/>
      <c r="K19" s="99">
        <f>SUM(K20:K27)</f>
        <v>4.5629588285</v>
      </c>
      <c r="L19" s="104">
        <f aca="true" t="shared" si="0" ref="L19:L27">($E19*$E$8)+($H19*$H$8)+($K19*$K$8)</f>
        <v>2.5317807425232877</v>
      </c>
      <c r="M19" s="241">
        <f aca="true" t="shared" si="1" ref="M19:M27">L19/$L$52</f>
        <v>0.26319631216628986</v>
      </c>
      <c r="N19" s="46"/>
      <c r="P19" s="5"/>
    </row>
    <row r="20" spans="2:17" ht="15" customHeight="1">
      <c r="B20" s="242" t="s">
        <v>116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3">
        <f t="shared" si="1"/>
        <v>0</v>
      </c>
      <c r="N20" s="46"/>
      <c r="O20" s="107"/>
      <c r="P20" s="107"/>
      <c r="Q20" s="107"/>
    </row>
    <row r="21" spans="2:16" s="362" customFormat="1" ht="15" customHeight="1">
      <c r="B21" s="353" t="s">
        <v>117</v>
      </c>
      <c r="C21" s="354">
        <v>0.3448</v>
      </c>
      <c r="D21" s="355">
        <f>'FROTA E CUSTOS'!N8</f>
        <v>5.3059</v>
      </c>
      <c r="E21" s="356">
        <f>E10*(C21*D21)</f>
        <v>1.82947432</v>
      </c>
      <c r="F21" s="357">
        <v>0.3968</v>
      </c>
      <c r="G21" s="355">
        <f>'FROTA E CUSTOS'!N8</f>
        <v>5.3059</v>
      </c>
      <c r="H21" s="356">
        <f>H10*(F21*G21)</f>
        <v>2.10538112</v>
      </c>
      <c r="I21" s="358">
        <v>0.7463</v>
      </c>
      <c r="J21" s="355">
        <f>'FROTA E CUSTOS'!N8</f>
        <v>5.3059</v>
      </c>
      <c r="K21" s="356">
        <f>K10*(I21*J21)</f>
        <v>3.95979317</v>
      </c>
      <c r="L21" s="359">
        <f t="shared" si="0"/>
        <v>2.204111058314108</v>
      </c>
      <c r="M21" s="360">
        <f t="shared" si="1"/>
        <v>0.2291327571972301</v>
      </c>
      <c r="N21" s="361" t="s">
        <v>106</v>
      </c>
      <c r="P21" s="363"/>
    </row>
    <row r="22" spans="2:16" s="362" customFormat="1" ht="15" customHeight="1">
      <c r="B22" s="353" t="s">
        <v>118</v>
      </c>
      <c r="C22" s="354">
        <v>0.0019</v>
      </c>
      <c r="D22" s="355">
        <f>'FROTA E CUSTOS'!N12</f>
        <v>2.2</v>
      </c>
      <c r="E22" s="356">
        <f>E10*(C22*D22)</f>
        <v>0.0041800000000000006</v>
      </c>
      <c r="F22" s="357">
        <v>0.0068</v>
      </c>
      <c r="G22" s="355">
        <f>'FROTA E CUSTOS'!N12</f>
        <v>2.2</v>
      </c>
      <c r="H22" s="356">
        <f>H10*(F22*G22)</f>
        <v>0.014960000000000001</v>
      </c>
      <c r="I22" s="358">
        <v>0.0276</v>
      </c>
      <c r="J22" s="355">
        <f>'FROTA E CUSTOS'!N12</f>
        <v>2.2</v>
      </c>
      <c r="K22" s="356">
        <f>K10*(I22*J22)</f>
        <v>0.06072</v>
      </c>
      <c r="L22" s="359">
        <f t="shared" si="0"/>
        <v>0.016722910776661375</v>
      </c>
      <c r="M22" s="360">
        <f t="shared" si="1"/>
        <v>0.001738463513517579</v>
      </c>
      <c r="N22" s="364"/>
      <c r="P22" s="363"/>
    </row>
    <row r="23" spans="2:14" ht="15" customHeight="1">
      <c r="B23" s="244" t="s">
        <v>0</v>
      </c>
      <c r="C23" s="73">
        <v>0.05</v>
      </c>
      <c r="D23" s="137">
        <f>E20+E21+E22</f>
        <v>1.8336543200000002</v>
      </c>
      <c r="E23" s="51">
        <f>C23*D23</f>
        <v>0.09168271600000001</v>
      </c>
      <c r="F23" s="73">
        <v>0.05</v>
      </c>
      <c r="G23" s="137">
        <f>H20+H21+H22</f>
        <v>2.12034112</v>
      </c>
      <c r="H23" s="52">
        <f>0.05*G23</f>
        <v>0.106017056</v>
      </c>
      <c r="I23" s="73">
        <v>0.05</v>
      </c>
      <c r="J23" s="137">
        <f>K20+K21+K22</f>
        <v>4.02051317</v>
      </c>
      <c r="K23" s="51">
        <f>0.05*J23</f>
        <v>0.2010256585</v>
      </c>
      <c r="L23" s="49">
        <f t="shared" si="0"/>
        <v>0.11104169845453846</v>
      </c>
      <c r="M23" s="245">
        <f t="shared" si="1"/>
        <v>0.011543561035537383</v>
      </c>
      <c r="N23" s="46"/>
    </row>
    <row r="24" spans="2:14" ht="15" customHeight="1">
      <c r="B24" s="246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0.10136712531150689</v>
      </c>
      <c r="M24" s="245">
        <f t="shared" si="1"/>
        <v>0.010537821505940058</v>
      </c>
      <c r="N24" s="46"/>
    </row>
    <row r="25" spans="2:14" ht="15" customHeight="1">
      <c r="B25" s="246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0.015860733024810628</v>
      </c>
      <c r="M25" s="245">
        <f t="shared" si="1"/>
        <v>0.0016488341072630791</v>
      </c>
      <c r="N25" s="46"/>
    </row>
    <row r="26" spans="2:14" ht="15" customHeight="1">
      <c r="B26" s="246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0.07174797957211185</v>
      </c>
      <c r="M26" s="245">
        <f t="shared" si="1"/>
        <v>0.007458704188555317</v>
      </c>
      <c r="N26" s="46"/>
    </row>
    <row r="27" spans="2:14" ht="15" customHeight="1">
      <c r="B27" s="247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0.010929237069550908</v>
      </c>
      <c r="M27" s="248">
        <f t="shared" si="1"/>
        <v>0.0011361706182463581</v>
      </c>
      <c r="N27" s="46"/>
    </row>
    <row r="28" spans="2:14" ht="9.75" customHeight="1">
      <c r="B28" s="233"/>
      <c r="C28" s="235"/>
      <c r="D28" s="235"/>
      <c r="E28" s="235"/>
      <c r="F28" s="235"/>
      <c r="G28" s="235"/>
      <c r="H28" s="235"/>
      <c r="I28" s="235"/>
      <c r="J28" s="235"/>
      <c r="K28" s="235"/>
      <c r="L28" s="234"/>
      <c r="M28" s="249"/>
      <c r="N28" s="46"/>
    </row>
    <row r="29" spans="2:17" s="107" customFormat="1" ht="15" customHeight="1">
      <c r="B29" s="250" t="s">
        <v>75</v>
      </c>
      <c r="C29" s="108"/>
      <c r="D29" s="109"/>
      <c r="E29" s="110">
        <f>SUM(E30:E41)</f>
        <v>4.091774093043809</v>
      </c>
      <c r="F29" s="112"/>
      <c r="G29" s="113"/>
      <c r="H29" s="111">
        <f>SUM(H30:H41)</f>
        <v>5.837347397119353</v>
      </c>
      <c r="I29" s="114"/>
      <c r="J29" s="113"/>
      <c r="K29" s="110">
        <f>SUM(K30:K41)</f>
        <v>7.736164886358596</v>
      </c>
      <c r="L29" s="115">
        <f aca="true" t="shared" si="2" ref="L29:L41">($E29*$E$8)+($H29*$H$8)+($K29*$K$8)</f>
        <v>5.690385313061161</v>
      </c>
      <c r="M29" s="251">
        <f aca="true" t="shared" si="3" ref="M29:M41">L29/$L$52</f>
        <v>0.5915553444451324</v>
      </c>
      <c r="O29" s="5"/>
      <c r="P29" s="130"/>
      <c r="Q29" s="5"/>
    </row>
    <row r="30" spans="2:14" ht="15" customHeight="1">
      <c r="B30" s="242" t="s">
        <v>3</v>
      </c>
      <c r="C30" s="136">
        <v>0.0064</v>
      </c>
      <c r="D30" s="83">
        <f>'FROTA E CUSTOS'!H4</f>
        <v>622450.18</v>
      </c>
      <c r="E30" s="85">
        <f>(C30*D30)/C11</f>
        <v>0.4964411787882519</v>
      </c>
      <c r="F30" s="136">
        <v>0.0064</v>
      </c>
      <c r="G30" s="81">
        <f>'FROTA E CUSTOS'!H5</f>
        <v>695450.18</v>
      </c>
      <c r="H30" s="85">
        <f>(F30*G30)/F11</f>
        <v>0.6907888699504107</v>
      </c>
      <c r="I30" s="136">
        <v>0.0064</v>
      </c>
      <c r="J30" s="81">
        <f>'FROTA E CUSTOS'!H6</f>
        <v>1538775.9</v>
      </c>
      <c r="K30" s="85">
        <f>(I30*J30)/I11</f>
        <v>1.7678771294785995</v>
      </c>
      <c r="L30" s="63">
        <f>($E30*$E$8)+($H30*$H$8)+($K30*$K$8)</f>
        <v>0.7423531089962354</v>
      </c>
      <c r="M30" s="243">
        <f t="shared" si="3"/>
        <v>0.07717279673209766</v>
      </c>
      <c r="N30" s="46"/>
    </row>
    <row r="31" spans="2:14" ht="15" customHeight="1">
      <c r="B31" s="246" t="s">
        <v>4</v>
      </c>
      <c r="C31" s="80">
        <f>'KM, PASSAGEIROS E PESSOAL'!M20</f>
        <v>3.1021662523217017</v>
      </c>
      <c r="D31" s="13">
        <f>'FROTA E CUSTOS'!K5</f>
        <v>2482.97</v>
      </c>
      <c r="E31" s="86">
        <f>(C31*D31*1.423893)/C$11</f>
        <v>1.366775305758754</v>
      </c>
      <c r="F31" s="80">
        <f>C31</f>
        <v>3.1021662523217017</v>
      </c>
      <c r="G31" s="66">
        <f>'FROTA E CUSTOS'!K4</f>
        <v>2482.97</v>
      </c>
      <c r="H31" s="86">
        <f>(F31*G31*1.423893)/F$11</f>
        <v>1.702210362250839</v>
      </c>
      <c r="I31" s="80">
        <f>F31</f>
        <v>3.1021662523217017</v>
      </c>
      <c r="J31" s="66">
        <f>'FROTA E CUSTOS'!K4</f>
        <v>2482.97</v>
      </c>
      <c r="K31" s="86">
        <f>(I31*J31*1.423893)/I$11</f>
        <v>1.968840905696818</v>
      </c>
      <c r="L31" s="49">
        <f>($E31*$E$8)+($H31*$H$8)+($K31*$K$8)</f>
        <v>1.6662601438969573</v>
      </c>
      <c r="M31" s="245">
        <f t="shared" si="3"/>
        <v>0.1732193936139463</v>
      </c>
      <c r="N31" s="46"/>
    </row>
    <row r="32" spans="2:14" ht="15" customHeight="1">
      <c r="B32" s="246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3.2184916101323955</v>
      </c>
      <c r="G32" s="66">
        <f>'FROTA E CUSTOS'!K6</f>
        <v>1487.39</v>
      </c>
      <c r="H32" s="86">
        <f>(F32*G32*1.423893)/F$11</f>
        <v>1.057922679129156</v>
      </c>
      <c r="I32" s="76">
        <f>F32</f>
        <v>3.2184916101323955</v>
      </c>
      <c r="J32" s="66">
        <f>'FROTA E CUSTOS'!K6</f>
        <v>1487.39</v>
      </c>
      <c r="K32" s="153">
        <f>(I32*J32*1.423893)/I$11</f>
        <v>1.2236333956865648</v>
      </c>
      <c r="L32" s="49">
        <f>($E32*$E$8)+($H32*$H$8)+($K32*$K$8)</f>
        <v>0.8915586311785372</v>
      </c>
      <c r="M32" s="245">
        <f t="shared" si="3"/>
        <v>0.09268375411227299</v>
      </c>
      <c r="N32" s="46"/>
    </row>
    <row r="33" spans="2:16" ht="15" customHeight="1">
      <c r="B33" s="246" t="s">
        <v>59</v>
      </c>
      <c r="C33" s="80">
        <f>1/5</f>
        <v>0.2</v>
      </c>
      <c r="D33" s="66">
        <f>G33</f>
        <v>2482.97</v>
      </c>
      <c r="E33" s="86">
        <f>(C33*D33*1.423893)/C$11</f>
        <v>0.08811747627876756</v>
      </c>
      <c r="F33" s="80">
        <f>1/5</f>
        <v>0.2</v>
      </c>
      <c r="G33" s="66">
        <f>'FROTA E CUSTOS'!K4</f>
        <v>2482.97</v>
      </c>
      <c r="H33" s="86">
        <f>(F33*G33*1.423893)/F$11</f>
        <v>0.10974333570787076</v>
      </c>
      <c r="I33" s="80">
        <f>1/5</f>
        <v>0.2</v>
      </c>
      <c r="J33" s="66">
        <f>'FROTA E CUSTOS'!K4</f>
        <v>2482.97</v>
      </c>
      <c r="K33" s="86">
        <f>(I33*J33*1.423893)/I$11</f>
        <v>0.12693329406335407</v>
      </c>
      <c r="L33" s="49">
        <f>($E33*$E$8)+($H33*$H$8)+($K33*$K$8)</f>
        <v>0.1074255864043332</v>
      </c>
      <c r="M33" s="245">
        <f t="shared" si="3"/>
        <v>0.01116764090153496</v>
      </c>
      <c r="N33" s="46"/>
      <c r="P33" s="5"/>
    </row>
    <row r="34" spans="2:17" ht="15" customHeight="1">
      <c r="B34" s="244" t="s">
        <v>6</v>
      </c>
      <c r="C34" s="80">
        <v>0.135</v>
      </c>
      <c r="D34" s="84">
        <f>SUM(E31:E33)</f>
        <v>1.4548927820375215</v>
      </c>
      <c r="E34" s="86">
        <f>C34*D34</f>
        <v>0.19641052557506541</v>
      </c>
      <c r="F34" s="80">
        <v>0.135</v>
      </c>
      <c r="G34" s="84">
        <f>SUM(H31:H33)</f>
        <v>2.869876377087866</v>
      </c>
      <c r="H34" s="89">
        <f>F34*G34</f>
        <v>0.38743331090686195</v>
      </c>
      <c r="I34" s="80">
        <v>0.135</v>
      </c>
      <c r="J34" s="84">
        <f>SUM(K31:K33)</f>
        <v>3.3194075954467372</v>
      </c>
      <c r="K34" s="86">
        <f>I34*J34</f>
        <v>0.44812002538530954</v>
      </c>
      <c r="L34" s="49">
        <f t="shared" si="2"/>
        <v>0.3598079887997767</v>
      </c>
      <c r="M34" s="245">
        <f t="shared" si="3"/>
        <v>0.03740455646474682</v>
      </c>
      <c r="N34" s="46"/>
      <c r="O34" s="107"/>
      <c r="P34" s="107"/>
      <c r="Q34" s="107"/>
    </row>
    <row r="35" spans="2:16" ht="15" customHeight="1">
      <c r="B35" s="244" t="s">
        <v>44</v>
      </c>
      <c r="C35" s="80">
        <f>C8/$L$8/C7</f>
        <v>0.008073628008606856</v>
      </c>
      <c r="D35" s="13">
        <f>'FROTA E CUSTOS'!K10*'KM, PASSAGEIROS E PESSOAL'!E14</f>
        <v>939403.0399999999</v>
      </c>
      <c r="E35" s="87">
        <f>(C35*D35)/C11</f>
        <v>0.9451569323470932</v>
      </c>
      <c r="F35" s="80">
        <f>F8/$L$8/F7</f>
        <v>0.006482650813765856</v>
      </c>
      <c r="G35" s="13">
        <f>D35</f>
        <v>939403.0399999999</v>
      </c>
      <c r="H35" s="90">
        <f>(F35*G35)/F11</f>
        <v>0.9451569323470931</v>
      </c>
      <c r="I35" s="80">
        <f>I8/$L$8/I7</f>
        <v>0.005604736958744055</v>
      </c>
      <c r="J35" s="13">
        <f>G35</f>
        <v>939403.0399999999</v>
      </c>
      <c r="K35" s="87">
        <f>(I35*J35)/I11</f>
        <v>0.9451569323470931</v>
      </c>
      <c r="L35" s="49">
        <f>($E35*$E$8)+($H35*$H$8)+($K35*$K$8)</f>
        <v>0.9451569323470931</v>
      </c>
      <c r="M35" s="245">
        <f t="shared" si="3"/>
        <v>0.0982556723155383</v>
      </c>
      <c r="N35" s="56"/>
      <c r="P35" s="5"/>
    </row>
    <row r="36" spans="2:17" ht="15" customHeight="1">
      <c r="B36" s="244" t="s">
        <v>7</v>
      </c>
      <c r="C36" s="80">
        <f>C32+C33+C34+((C32+C33+C34)*C35)</f>
        <v>0.3377046653828833</v>
      </c>
      <c r="D36" s="84"/>
      <c r="E36" s="88">
        <f>(((D31)*0.1/12)*(C31+C32+C33)*C7)/C8</f>
        <v>0.008514759547929055</v>
      </c>
      <c r="F36" s="76"/>
      <c r="G36" s="82"/>
      <c r="H36" s="88">
        <f>(((G31)*0.1/12)*(F31+F32+F33)*F7)/F8</f>
        <v>0.020940207142070687</v>
      </c>
      <c r="I36" s="73"/>
      <c r="J36" s="82"/>
      <c r="K36" s="88">
        <f>(((J31)*0.1/12)*(I31+I32+I33)*I7)/I8</f>
        <v>0.02422023582358973</v>
      </c>
      <c r="L36" s="49">
        <f t="shared" si="2"/>
        <v>0.019090891637723085</v>
      </c>
      <c r="M36" s="245">
        <f t="shared" si="3"/>
        <v>0.0019846316826026495</v>
      </c>
      <c r="N36" s="46"/>
      <c r="O36" s="107"/>
      <c r="P36" s="107"/>
      <c r="Q36" s="107"/>
    </row>
    <row r="37" spans="2:14" ht="15" customHeight="1">
      <c r="B37" s="244" t="s">
        <v>8</v>
      </c>
      <c r="C37" s="80">
        <f>C8/$L$8/C7</f>
        <v>0.008073628008606856</v>
      </c>
      <c r="D37" s="13">
        <f>'FROTA E CUSTOS'!K35</f>
        <v>0</v>
      </c>
      <c r="E37" s="86">
        <f>D37*C37/C11</f>
        <v>0</v>
      </c>
      <c r="F37" s="80">
        <f>F8/$L$8/F7</f>
        <v>0.006482650813765856</v>
      </c>
      <c r="G37" s="13">
        <f>D37</f>
        <v>0</v>
      </c>
      <c r="H37" s="89">
        <f>G37*F37/F11</f>
        <v>0</v>
      </c>
      <c r="I37" s="80">
        <f>I8/$L$8/I7</f>
        <v>0.005604736958744055</v>
      </c>
      <c r="J37" s="13">
        <f>G37</f>
        <v>0</v>
      </c>
      <c r="K37" s="86">
        <f>J37*I37/I11</f>
        <v>0</v>
      </c>
      <c r="L37" s="49">
        <f t="shared" si="2"/>
        <v>0</v>
      </c>
      <c r="M37" s="245">
        <f t="shared" si="3"/>
        <v>0</v>
      </c>
      <c r="N37" s="46"/>
    </row>
    <row r="38" spans="2:14" ht="15" customHeight="1">
      <c r="B38" s="244" t="s">
        <v>72</v>
      </c>
      <c r="C38" s="73"/>
      <c r="D38" s="13">
        <f>'FROTA E CUSTOS'!K27</f>
        <v>2057.14</v>
      </c>
      <c r="E38" s="86">
        <f>D38/12/C12</f>
        <v>0.041709059031806474</v>
      </c>
      <c r="F38" s="76"/>
      <c r="G38" s="13">
        <f>D38</f>
        <v>2057.14</v>
      </c>
      <c r="H38" s="89">
        <f>G38/12/F12</f>
        <v>0.03096404684525501</v>
      </c>
      <c r="I38" s="73"/>
      <c r="J38" s="13">
        <f>G38</f>
        <v>2057.14</v>
      </c>
      <c r="K38" s="86">
        <f>J38/12/I12</f>
        <v>0.043962389578833444</v>
      </c>
      <c r="L38" s="49">
        <f t="shared" si="2"/>
        <v>0.03380575479033879</v>
      </c>
      <c r="M38" s="245">
        <f t="shared" si="3"/>
        <v>0.0035143446039278083</v>
      </c>
      <c r="N38" s="46"/>
    </row>
    <row r="39" spans="2:14" ht="15" customHeight="1">
      <c r="B39" s="244" t="s">
        <v>12</v>
      </c>
      <c r="C39" s="80">
        <v>0.105</v>
      </c>
      <c r="D39" s="84">
        <f>SUM(E31:E33)</f>
        <v>1.4548927820375215</v>
      </c>
      <c r="E39" s="86">
        <f>C39*D39</f>
        <v>0.15276374211393975</v>
      </c>
      <c r="F39" s="80">
        <v>0.105</v>
      </c>
      <c r="G39" s="84">
        <f>SUM(H31:H33)</f>
        <v>2.869876377087866</v>
      </c>
      <c r="H39" s="89">
        <f>F39*G39</f>
        <v>0.30133701959422593</v>
      </c>
      <c r="I39" s="80">
        <v>0.105</v>
      </c>
      <c r="J39" s="84">
        <f>SUM(K31:K33)</f>
        <v>3.3194075954467372</v>
      </c>
      <c r="K39" s="86">
        <f>I39*J39</f>
        <v>0.3485377975219074</v>
      </c>
      <c r="L39" s="49">
        <f>($E39*$E$8)+($H39*$H$8)+($K39*$K$8)</f>
        <v>0.2798506579553819</v>
      </c>
      <c r="M39" s="245">
        <f t="shared" si="3"/>
        <v>0.029092432805914194</v>
      </c>
      <c r="N39" s="46"/>
    </row>
    <row r="40" spans="2:14" ht="15" customHeight="1">
      <c r="B40" s="244" t="s">
        <v>10</v>
      </c>
      <c r="C40" s="80">
        <v>0.0033</v>
      </c>
      <c r="D40" s="13">
        <f>'FROTA E CUSTOS'!F5</f>
        <v>707000</v>
      </c>
      <c r="E40" s="86">
        <f>C40*D40/$C$12</f>
        <v>0.5676506545618151</v>
      </c>
      <c r="F40" s="80">
        <f>C40</f>
        <v>0.0033</v>
      </c>
      <c r="G40" s="13">
        <f>D40</f>
        <v>707000</v>
      </c>
      <c r="H40" s="86">
        <f>F40*G40/$F$12</f>
        <v>0.42141352184876757</v>
      </c>
      <c r="I40" s="80">
        <f>F40</f>
        <v>0.0033</v>
      </c>
      <c r="J40" s="13">
        <f>G40</f>
        <v>707000</v>
      </c>
      <c r="K40" s="86">
        <f>I40*J40/$I$12</f>
        <v>0.5983179625676988</v>
      </c>
      <c r="L40" s="49">
        <f t="shared" si="2"/>
        <v>0.46008851026963316</v>
      </c>
      <c r="M40" s="245">
        <f t="shared" si="3"/>
        <v>0.047829417903053575</v>
      </c>
      <c r="N40" s="46"/>
    </row>
    <row r="41" spans="2:16" ht="15" customHeight="1">
      <c r="B41" s="244" t="s">
        <v>11</v>
      </c>
      <c r="C41" s="80">
        <v>0.3778</v>
      </c>
      <c r="D41" s="13">
        <f>G41</f>
        <v>2482.97</v>
      </c>
      <c r="E41" s="86">
        <f>C41*D41/$C$12</f>
        <v>0.22823445904038697</v>
      </c>
      <c r="F41" s="80">
        <f>C41</f>
        <v>0.3778</v>
      </c>
      <c r="G41" s="66">
        <f>G31</f>
        <v>2482.97</v>
      </c>
      <c r="H41" s="86">
        <f>F41*G41/$F$12</f>
        <v>0.16943711139680187</v>
      </c>
      <c r="I41" s="80">
        <f>F41</f>
        <v>0.3778</v>
      </c>
      <c r="J41" s="66">
        <f>J31</f>
        <v>2482.97</v>
      </c>
      <c r="K41" s="86">
        <f>I41*J41/$I$12</f>
        <v>0.24056481820882794</v>
      </c>
      <c r="L41" s="49">
        <f t="shared" si="2"/>
        <v>0.18498710678515082</v>
      </c>
      <c r="M41" s="245">
        <f t="shared" si="3"/>
        <v>0.019230703309496996</v>
      </c>
      <c r="P41" s="5"/>
    </row>
    <row r="42" spans="2:16" ht="9.75" customHeight="1">
      <c r="B42" s="233"/>
      <c r="C42" s="235"/>
      <c r="D42" s="235"/>
      <c r="E42" s="235"/>
      <c r="F42" s="235"/>
      <c r="G42" s="235"/>
      <c r="H42" s="235"/>
      <c r="I42" s="235"/>
      <c r="J42" s="235"/>
      <c r="K42" s="235"/>
      <c r="L42" s="234"/>
      <c r="M42" s="249"/>
      <c r="P42" s="5"/>
    </row>
    <row r="43" spans="2:14" s="107" customFormat="1" ht="15" customHeight="1">
      <c r="B43" s="252" t="s">
        <v>82</v>
      </c>
      <c r="C43" s="116"/>
      <c r="D43" s="117"/>
      <c r="E43" s="118">
        <f>E19+E29</f>
        <v>6.204966557615238</v>
      </c>
      <c r="F43" s="119"/>
      <c r="G43" s="120"/>
      <c r="H43" s="118">
        <f>H19+H29</f>
        <v>8.251561001690781</v>
      </c>
      <c r="I43" s="119"/>
      <c r="J43" s="120"/>
      <c r="K43" s="118">
        <f>K19+K29</f>
        <v>12.299123714858595</v>
      </c>
      <c r="L43" s="121">
        <f>(E43*$E$8)+(H43*$H$8)+(K43*$K$8)</f>
        <v>8.222166055584449</v>
      </c>
      <c r="M43" s="253">
        <f>L43/$L$52</f>
        <v>0.8547516566114222</v>
      </c>
      <c r="N43" s="5"/>
    </row>
    <row r="44" spans="2:16" ht="9.75" customHeight="1">
      <c r="B44" s="233"/>
      <c r="C44" s="235"/>
      <c r="D44" s="235"/>
      <c r="E44" s="235"/>
      <c r="F44" s="235"/>
      <c r="G44" s="235"/>
      <c r="H44" s="235"/>
      <c r="I44" s="235"/>
      <c r="J44" s="235"/>
      <c r="K44" s="235"/>
      <c r="L44" s="234"/>
      <c r="M44" s="249"/>
      <c r="N44" s="107"/>
      <c r="P44" s="5"/>
    </row>
    <row r="45" spans="2:14" s="107" customFormat="1" ht="15" customHeight="1">
      <c r="B45" s="250" t="s">
        <v>83</v>
      </c>
      <c r="C45" s="108"/>
      <c r="D45" s="109"/>
      <c r="E45" s="110">
        <f>E46+E47+E48+E49+E50</f>
        <v>1.2643564553221094</v>
      </c>
      <c r="F45" s="112"/>
      <c r="G45" s="113"/>
      <c r="H45" s="111">
        <f>H46+H47+H48+H49+H50</f>
        <v>1.3951568312641305</v>
      </c>
      <c r="I45" s="114"/>
      <c r="J45" s="113"/>
      <c r="K45" s="110">
        <f>K46+K47+K48+K49+K50</f>
        <v>1.7037777300186812</v>
      </c>
      <c r="L45" s="115">
        <f>L46+L47+L48+L49+L50</f>
        <v>1.3971964715154188</v>
      </c>
      <c r="M45" s="251">
        <f aca="true" t="shared" si="4" ref="M45:M50">L45/$L$52</f>
        <v>0.14524834338857776</v>
      </c>
      <c r="N45" s="5"/>
    </row>
    <row r="46" spans="2:16" ht="15" customHeight="1">
      <c r="B46" s="242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0.6648765787342659</v>
      </c>
      <c r="F46" s="55">
        <f>1/120</f>
        <v>0.008333333333333333</v>
      </c>
      <c r="G46" s="81">
        <f>'FROTA E CUSTOS'!H5</f>
        <v>695450.18</v>
      </c>
      <c r="H46" s="106">
        <f>F46*G46*0.9/F13</f>
        <v>0.8374326279032457</v>
      </c>
      <c r="I46" s="55">
        <f>1/120</f>
        <v>0.008333333333333333</v>
      </c>
      <c r="J46" s="81">
        <f>'FROTA E CUSTOS'!H6</f>
        <v>1538775.9</v>
      </c>
      <c r="K46" s="106">
        <f>I46*J46*0.9/I13</f>
        <v>1.479807865076953</v>
      </c>
      <c r="L46" s="63">
        <f>(E46*$E$8)+(H46*$H$8)+(K46*$K$8)</f>
        <v>0.8585812267834885</v>
      </c>
      <c r="M46" s="243">
        <f t="shared" si="4"/>
        <v>0.08925552232434068</v>
      </c>
      <c r="P46" s="5"/>
    </row>
    <row r="47" spans="2:16" ht="15" customHeight="1">
      <c r="B47" s="244" t="s">
        <v>76</v>
      </c>
      <c r="C47" s="54">
        <v>0.0001</v>
      </c>
      <c r="D47" s="13">
        <f>'FROTA E CUSTOS'!F5</f>
        <v>707000</v>
      </c>
      <c r="E47" s="135">
        <f>C47*D47/$C$12</f>
        <v>0.01720153498672167</v>
      </c>
      <c r="F47" s="54">
        <v>0.0001</v>
      </c>
      <c r="G47" s="13">
        <f>D47</f>
        <v>707000</v>
      </c>
      <c r="H47" s="135">
        <f>F47*G47/$F$12</f>
        <v>0.012770106722689927</v>
      </c>
      <c r="I47" s="54">
        <v>0.0001</v>
      </c>
      <c r="J47" s="13">
        <f>G47</f>
        <v>707000</v>
      </c>
      <c r="K47" s="135">
        <f>I47*J47/$I$12</f>
        <v>0.018130847350536328</v>
      </c>
      <c r="L47" s="105">
        <f>(E47*$E$8)+(H47*$H$8)+(K47*$K$8)</f>
        <v>0.013942076068776761</v>
      </c>
      <c r="M47" s="245">
        <f t="shared" si="4"/>
        <v>0.0014493763000925327</v>
      </c>
      <c r="P47" s="5"/>
    </row>
    <row r="48" spans="2:16" ht="15" customHeight="1">
      <c r="B48" s="244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0.46186759669407007</v>
      </c>
      <c r="F48" s="53">
        <f>((10-'FROTA E CUSTOS'!D29)/10)*0.01</f>
        <v>0.00408</v>
      </c>
      <c r="G48" s="81">
        <f>G46</f>
        <v>695450.18</v>
      </c>
      <c r="H48" s="88">
        <f>F48*G48/F13</f>
        <v>0.4555633495793656</v>
      </c>
      <c r="I48" s="54">
        <f>((10-'FROTA E CUSTOS'!F29)/10)*0.01</f>
        <v>0.00040000000000000034</v>
      </c>
      <c r="J48" s="81">
        <f>J46</f>
        <v>1538775.9</v>
      </c>
      <c r="K48" s="88">
        <f>I48*J48/I13</f>
        <v>0.07892308613743755</v>
      </c>
      <c r="L48" s="105">
        <f>(E48*$E$8)+(H48*$H$8)+(K48*$K$8)</f>
        <v>0.42707863618171626</v>
      </c>
      <c r="M48" s="245">
        <f t="shared" si="4"/>
        <v>0.04439781066349682</v>
      </c>
      <c r="N48" s="107"/>
      <c r="P48" s="5"/>
    </row>
    <row r="49" spans="2:17" ht="15" customHeight="1">
      <c r="B49" s="244" t="s">
        <v>79</v>
      </c>
      <c r="C49" s="54">
        <v>0.0004</v>
      </c>
      <c r="D49" s="13">
        <f>'FROTA E CUSTOS'!F5</f>
        <v>707000</v>
      </c>
      <c r="E49" s="88">
        <f>C49*D49/$C$12</f>
        <v>0.06880613994688668</v>
      </c>
      <c r="F49" s="54">
        <v>0.0004</v>
      </c>
      <c r="G49" s="13">
        <f>D49</f>
        <v>707000</v>
      </c>
      <c r="H49" s="88">
        <f>F49*G49/$F$12</f>
        <v>0.05108042689075971</v>
      </c>
      <c r="I49" s="54">
        <v>0.0004</v>
      </c>
      <c r="J49" s="13">
        <f>G49</f>
        <v>707000</v>
      </c>
      <c r="K49" s="88">
        <f>I49*J49/$I$12</f>
        <v>0.07252338940214531</v>
      </c>
      <c r="L49" s="105">
        <f>(E49*$E$8)+(H49*$H$8)+(K49*$K$8)</f>
        <v>0.055768304275107046</v>
      </c>
      <c r="M49" s="245">
        <f t="shared" si="4"/>
        <v>0.005797505200370131</v>
      </c>
      <c r="N49" s="46"/>
      <c r="O49" s="107"/>
      <c r="P49" s="107"/>
      <c r="Q49" s="107"/>
    </row>
    <row r="50" spans="2:16" ht="15" customHeight="1">
      <c r="B50" s="244" t="s">
        <v>80</v>
      </c>
      <c r="C50" s="54">
        <v>0.0003</v>
      </c>
      <c r="D50" s="13">
        <f>'FROTA E CUSTOS'!F5</f>
        <v>707000</v>
      </c>
      <c r="E50" s="88">
        <f>C50*D50/$C$12</f>
        <v>0.05160460496016501</v>
      </c>
      <c r="F50" s="54">
        <v>0.0003</v>
      </c>
      <c r="G50" s="13">
        <f>D50</f>
        <v>707000</v>
      </c>
      <c r="H50" s="88">
        <f>F50*G50/$F$12</f>
        <v>0.038310320168069775</v>
      </c>
      <c r="I50" s="54">
        <v>0.0003</v>
      </c>
      <c r="J50" s="13">
        <f>G50</f>
        <v>707000</v>
      </c>
      <c r="K50" s="88">
        <f>I50*J50/$I$12</f>
        <v>0.05439254205160898</v>
      </c>
      <c r="L50" s="49">
        <f>(E50*$E$8)+(H50*$H$8)+(K50*$K$8)</f>
        <v>0.041826228206330286</v>
      </c>
      <c r="M50" s="245">
        <f t="shared" si="4"/>
        <v>0.004348128900277598</v>
      </c>
      <c r="N50" s="46"/>
      <c r="P50" s="5"/>
    </row>
    <row r="51" spans="2:14" ht="9.7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5"/>
      <c r="L51" s="234"/>
      <c r="M51" s="249"/>
      <c r="N51" s="46"/>
    </row>
    <row r="52" spans="2:17" s="107" customFormat="1" ht="15" customHeight="1">
      <c r="B52" s="252" t="s">
        <v>81</v>
      </c>
      <c r="C52" s="116"/>
      <c r="D52" s="117"/>
      <c r="E52" s="118">
        <f>E43+E45</f>
        <v>7.469323012937347</v>
      </c>
      <c r="F52" s="119"/>
      <c r="G52" s="120"/>
      <c r="H52" s="118">
        <f>H43+H45</f>
        <v>9.646717832954913</v>
      </c>
      <c r="I52" s="119"/>
      <c r="J52" s="120"/>
      <c r="K52" s="118">
        <f>K43+K45</f>
        <v>14.002901444877276</v>
      </c>
      <c r="L52" s="121">
        <f>(E52*$E$8)+(H52*$H$8)+(K52*$K$8)</f>
        <v>9.619362527099868</v>
      </c>
      <c r="M52" s="253">
        <f>L52/L52</f>
        <v>1</v>
      </c>
      <c r="O52" s="5"/>
      <c r="P52" s="130"/>
      <c r="Q52" s="5"/>
    </row>
    <row r="53" spans="2:14" ht="9.75" customHeight="1"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122"/>
      <c r="M53" s="254"/>
      <c r="N53" s="46"/>
    </row>
    <row r="54" spans="2:14" ht="15" customHeight="1">
      <c r="B54" s="255" t="s">
        <v>84</v>
      </c>
      <c r="C54" s="492"/>
      <c r="D54" s="493"/>
      <c r="E54" s="493"/>
      <c r="F54" s="493"/>
      <c r="G54" s="493"/>
      <c r="H54" s="493"/>
      <c r="I54" s="493"/>
      <c r="J54" s="493"/>
      <c r="K54" s="494"/>
      <c r="L54" s="123">
        <f>(L52/0.95)-L52</f>
        <v>0.5062822382684153</v>
      </c>
      <c r="M54" s="256">
        <f>L54/$L$52</f>
        <v>0.05263157894736855</v>
      </c>
      <c r="N54" s="46"/>
    </row>
    <row r="55" spans="2:14" ht="15" customHeight="1">
      <c r="B55" s="257" t="s">
        <v>9</v>
      </c>
      <c r="C55" s="124" t="s">
        <v>97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0.42190186522367945</v>
      </c>
      <c r="M55" s="258">
        <f>L55/$L$52</f>
        <v>0.043859649122807126</v>
      </c>
      <c r="N55" s="46"/>
    </row>
    <row r="56" spans="2:14" ht="9.75" customHeight="1">
      <c r="B56" s="259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3"/>
      <c r="N56" s="46"/>
    </row>
    <row r="57" spans="2:17" s="107" customFormat="1" ht="15" customHeight="1">
      <c r="B57" s="237" t="s">
        <v>98</v>
      </c>
      <c r="C57" s="483"/>
      <c r="D57" s="484"/>
      <c r="E57" s="484"/>
      <c r="F57" s="484"/>
      <c r="G57" s="484"/>
      <c r="H57" s="484"/>
      <c r="I57" s="484"/>
      <c r="J57" s="484"/>
      <c r="K57" s="485"/>
      <c r="L57" s="486">
        <f>(L52+L54)/(1-D55-G55-J55)</f>
        <v>10.547546630591963</v>
      </c>
      <c r="M57" s="487"/>
      <c r="O57" s="5"/>
      <c r="P57" s="130"/>
      <c r="Q57" s="5"/>
    </row>
    <row r="58" spans="2:17" s="107" customFormat="1" ht="15" customHeight="1">
      <c r="B58" s="264" t="s">
        <v>62</v>
      </c>
      <c r="C58" s="474"/>
      <c r="D58" s="475"/>
      <c r="E58" s="475"/>
      <c r="F58" s="475"/>
      <c r="G58" s="475"/>
      <c r="H58" s="475"/>
      <c r="I58" s="475"/>
      <c r="J58" s="475"/>
      <c r="K58" s="476"/>
      <c r="L58" s="477">
        <f>L14/L8</f>
        <v>1.7554749170026318</v>
      </c>
      <c r="M58" s="478"/>
      <c r="O58" s="5"/>
      <c r="P58" s="130"/>
      <c r="Q58" s="5"/>
    </row>
    <row r="59" spans="2:14" ht="9.75" customHeight="1" thickBot="1">
      <c r="B59" s="233"/>
      <c r="C59" s="235"/>
      <c r="D59" s="235"/>
      <c r="E59" s="235"/>
      <c r="F59" s="235"/>
      <c r="G59" s="235"/>
      <c r="H59" s="235"/>
      <c r="I59" s="235"/>
      <c r="J59" s="235"/>
      <c r="K59" s="235"/>
      <c r="L59" s="234"/>
      <c r="M59" s="239"/>
      <c r="N59" s="46"/>
    </row>
    <row r="60" spans="2:14" ht="19.5" customHeight="1" thickBot="1">
      <c r="B60" s="265" t="s">
        <v>85</v>
      </c>
      <c r="C60" s="468"/>
      <c r="D60" s="468"/>
      <c r="E60" s="468"/>
      <c r="F60" s="468"/>
      <c r="G60" s="468"/>
      <c r="H60" s="468"/>
      <c r="I60" s="468"/>
      <c r="J60" s="468"/>
      <c r="K60" s="468"/>
      <c r="L60" s="409">
        <f>L57/L58</f>
        <v>6.0083721666620376</v>
      </c>
      <c r="M60" s="393"/>
      <c r="N60" s="46"/>
    </row>
    <row r="61" ht="11.25">
      <c r="N61" s="132"/>
    </row>
    <row r="62" spans="9:14" ht="11.25">
      <c r="I62" s="515"/>
      <c r="J62" s="515"/>
      <c r="K62" s="515"/>
      <c r="L62" s="515"/>
      <c r="M62" s="515"/>
      <c r="N62" s="140"/>
    </row>
    <row r="63" spans="11:13" ht="11.25">
      <c r="K63" s="192"/>
      <c r="L63" s="130"/>
      <c r="M63" s="182"/>
    </row>
    <row r="64" spans="11:13" ht="11.25">
      <c r="K64" s="192"/>
      <c r="L64" s="130"/>
      <c r="M64" s="148"/>
    </row>
    <row r="65" spans="11:12" ht="11.25">
      <c r="K65" s="132"/>
      <c r="L65" s="171"/>
    </row>
  </sheetData>
  <sheetProtection/>
  <mergeCells count="53">
    <mergeCell ref="C6:E6"/>
    <mergeCell ref="I6:K6"/>
    <mergeCell ref="L6:M6"/>
    <mergeCell ref="I8:J8"/>
    <mergeCell ref="I7:K7"/>
    <mergeCell ref="C8:D8"/>
    <mergeCell ref="F8:G8"/>
    <mergeCell ref="F6:H6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C54:K54"/>
    <mergeCell ref="C16:E16"/>
    <mergeCell ref="F16:H16"/>
    <mergeCell ref="L11:M11"/>
    <mergeCell ref="L13:M13"/>
    <mergeCell ref="F13:H13"/>
    <mergeCell ref="I12:K12"/>
    <mergeCell ref="F12:H12"/>
    <mergeCell ref="I10:J10"/>
    <mergeCell ref="F10:G10"/>
    <mergeCell ref="L9:M9"/>
    <mergeCell ref="I9:J9"/>
    <mergeCell ref="F9:G9"/>
    <mergeCell ref="B16:B17"/>
    <mergeCell ref="L16:M16"/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24.25390625" style="0" bestFit="1" customWidth="1"/>
    <col min="2" max="2" width="16.50390625" style="0" bestFit="1" customWidth="1"/>
    <col min="3" max="3" width="7.125" style="0" bestFit="1" customWidth="1"/>
    <col min="4" max="4" width="11.125" style="0" customWidth="1"/>
    <col min="5" max="5" width="16.125" style="0" bestFit="1" customWidth="1"/>
    <col min="6" max="6" width="3.25390625" style="0" hidden="1" customWidth="1"/>
  </cols>
  <sheetData>
    <row r="1" spans="1:6" ht="16.5" thickBot="1">
      <c r="A1" s="401" t="s">
        <v>154</v>
      </c>
      <c r="B1" s="394" t="s">
        <v>144</v>
      </c>
      <c r="C1" s="395" t="s">
        <v>145</v>
      </c>
      <c r="D1" s="396" t="s">
        <v>146</v>
      </c>
      <c r="E1" s="397" t="s">
        <v>147</v>
      </c>
      <c r="F1" s="367" t="s">
        <v>148</v>
      </c>
    </row>
    <row r="2" spans="1:6" ht="15.75">
      <c r="A2" s="368" t="s">
        <v>74</v>
      </c>
      <c r="B2" s="365"/>
      <c r="C2" s="366"/>
      <c r="D2" s="365"/>
      <c r="E2" s="365"/>
      <c r="F2" s="365"/>
    </row>
    <row r="3" spans="1:6" ht="15.75">
      <c r="A3" s="369" t="s">
        <v>149</v>
      </c>
      <c r="B3" s="398">
        <f>'TÁRIFA '!L21</f>
        <v>2.204111058314108</v>
      </c>
      <c r="C3" s="370">
        <f>B3/$B$42</f>
        <v>0.20896907456387384</v>
      </c>
      <c r="D3" s="371">
        <f>C3*'TÁRIFA '!L60</f>
        <v>1.2555639713027036</v>
      </c>
      <c r="E3" s="372">
        <f>D3*'TÁRIFA '!$L$14</f>
        <v>2190692.9503613017</v>
      </c>
      <c r="F3" s="372">
        <f>E3*'[1]TÁRIFA '!$T$17</f>
        <v>26288315.404335618</v>
      </c>
    </row>
    <row r="4" spans="1:6" ht="15.75">
      <c r="A4" s="369" t="s">
        <v>118</v>
      </c>
      <c r="B4" s="398">
        <f>'TÁRIFA '!L22</f>
        <v>0.016722910776661375</v>
      </c>
      <c r="C4" s="370">
        <f aca="true" t="shared" si="0" ref="C4:C9">B4/$B$42</f>
        <v>0.001585478724328032</v>
      </c>
      <c r="D4" s="371">
        <f>C4*'TÁRIFA '!$L$60</f>
        <v>0.00952614623808738</v>
      </c>
      <c r="E4" s="372">
        <f>D4*'TÁRIFA '!$L$14</f>
        <v>16621.105642460006</v>
      </c>
      <c r="F4" s="372">
        <f>E4*'[1]TÁRIFA '!$T$17</f>
        <v>199453.26770952006</v>
      </c>
    </row>
    <row r="5" spans="1:6" ht="15.75">
      <c r="A5" s="369" t="s">
        <v>0</v>
      </c>
      <c r="B5" s="398">
        <f>'TÁRIFA '!L23</f>
        <v>0.11104169845453846</v>
      </c>
      <c r="C5" s="370">
        <f t="shared" si="0"/>
        <v>0.010527727664410094</v>
      </c>
      <c r="D5" s="371">
        <f>C5*'TÁRIFA '!$L$60</f>
        <v>0.06325450587703954</v>
      </c>
      <c r="E5" s="372">
        <f>D5*'TÁRIFA '!$L$14</f>
        <v>110365.70280018807</v>
      </c>
      <c r="F5" s="372">
        <f>E5*'[1]TÁRIFA '!$T$17</f>
        <v>1324388.4336022567</v>
      </c>
    </row>
    <row r="6" spans="1:6" ht="15.75">
      <c r="A6" s="373" t="s">
        <v>55</v>
      </c>
      <c r="B6" s="398">
        <f>'TÁRIFA '!L24</f>
        <v>0.10136712531150689</v>
      </c>
      <c r="C6" s="370">
        <f t="shared" si="0"/>
        <v>0.009610493213417332</v>
      </c>
      <c r="D6" s="371">
        <f>C6*'TÁRIFA '!$L$60</f>
        <v>0.0577434199313911</v>
      </c>
      <c r="E6" s="372">
        <f>D6*'TÁRIFA '!$L$14</f>
        <v>100750.02617525202</v>
      </c>
      <c r="F6" s="372">
        <f>E6*'[1]TÁRIFA '!$T$17</f>
        <v>1209000.314103024</v>
      </c>
    </row>
    <row r="7" spans="1:6" ht="15.75">
      <c r="A7" s="373" t="s">
        <v>56</v>
      </c>
      <c r="B7" s="398">
        <f>'TÁRIFA '!L25</f>
        <v>0.015860733024810628</v>
      </c>
      <c r="C7" s="370">
        <f t="shared" si="0"/>
        <v>0.001503736705823928</v>
      </c>
      <c r="D7" s="371">
        <f>C7*'TÁRIFA '!$L$60</f>
        <v>0.00903500976926055</v>
      </c>
      <c r="E7" s="372">
        <f>D7*'TÁRIFA '!$L$14</f>
        <v>15764.176625288575</v>
      </c>
      <c r="F7" s="372">
        <f>E7*'[1]TÁRIFA '!$T$17</f>
        <v>189170.11950346292</v>
      </c>
    </row>
    <row r="8" spans="1:6" ht="15.75">
      <c r="A8" s="373" t="s">
        <v>57</v>
      </c>
      <c r="B8" s="398">
        <f>'TÁRIFA '!L26</f>
        <v>0.07174797957211185</v>
      </c>
      <c r="C8" s="370">
        <f t="shared" si="0"/>
        <v>0.006802338219962449</v>
      </c>
      <c r="D8" s="371">
        <f>C8*'TÁRIFA '!$L$60</f>
        <v>0.04087097962904377</v>
      </c>
      <c r="E8" s="372">
        <f>D8*'TÁRIFA '!$L$14</f>
        <v>71311.19480500002</v>
      </c>
      <c r="F8" s="372">
        <f>E8*'[1]TÁRIFA '!$T$17</f>
        <v>855734.3376600002</v>
      </c>
    </row>
    <row r="9" spans="1:6" ht="15.75">
      <c r="A9" s="373" t="s">
        <v>58</v>
      </c>
      <c r="B9" s="398">
        <f>'TÁRIFA '!L27</f>
        <v>0.010929237069550908</v>
      </c>
      <c r="C9" s="370">
        <f t="shared" si="0"/>
        <v>0.0010361876038406787</v>
      </c>
      <c r="D9" s="371">
        <f>C9*'TÁRIFA '!$L$60</f>
        <v>0.006225800758356563</v>
      </c>
      <c r="E9" s="372">
        <f>D9*'TÁRIFA '!$L$14</f>
        <v>10862.702453571432</v>
      </c>
      <c r="F9" s="372">
        <f>E9*'[1]TÁRIFA '!$T$17</f>
        <v>130352.42944285719</v>
      </c>
    </row>
    <row r="10" spans="1:6" ht="15.75">
      <c r="A10" s="374" t="s">
        <v>150</v>
      </c>
      <c r="B10" s="399">
        <f>SUM(B3:B9)</f>
        <v>2.5317807425232877</v>
      </c>
      <c r="C10" s="375">
        <f>SUM(C3:C9)</f>
        <v>0.24003503669565637</v>
      </c>
      <c r="D10" s="376">
        <f>SUM(D3:D9)</f>
        <v>1.4422198335058827</v>
      </c>
      <c r="E10" s="377">
        <f>SUM(E3:E9)</f>
        <v>2516367.8588630618</v>
      </c>
      <c r="F10" s="377">
        <f>SUM(F3:F9)</f>
        <v>30196414.306356736</v>
      </c>
    </row>
    <row r="11" spans="1:6" ht="15.75">
      <c r="A11" s="9"/>
      <c r="B11" s="365"/>
      <c r="C11" s="366"/>
      <c r="D11" s="378"/>
      <c r="E11" s="379"/>
      <c r="F11" s="380"/>
    </row>
    <row r="12" spans="1:6" ht="15.75">
      <c r="A12" s="368" t="s">
        <v>75</v>
      </c>
      <c r="B12" s="365" t="s">
        <v>106</v>
      </c>
      <c r="C12" s="366" t="s">
        <v>106</v>
      </c>
      <c r="D12" s="378" t="s">
        <v>106</v>
      </c>
      <c r="E12" s="379" t="s">
        <v>106</v>
      </c>
      <c r="F12" s="381"/>
    </row>
    <row r="13" spans="1:6" ht="15.75">
      <c r="A13" s="382" t="s">
        <v>3</v>
      </c>
      <c r="B13" s="400">
        <f>'TÁRIFA '!L30</f>
        <v>0.7423531089962354</v>
      </c>
      <c r="C13" s="383">
        <f>B13/$B$42</f>
        <v>0.07038159061967306</v>
      </c>
      <c r="D13" s="384">
        <f>C13*'TÁRIFA '!$L$60</f>
        <v>0.4228787901246455</v>
      </c>
      <c r="E13" s="385">
        <f>D13*'TÁRIFA '!$L$14</f>
        <v>737833.838464</v>
      </c>
      <c r="F13" s="385">
        <f>E13*'[1]TÁRIFA '!$T$17</f>
        <v>8854006.061568</v>
      </c>
    </row>
    <row r="14" spans="1:6" ht="15.75">
      <c r="A14" s="386" t="s">
        <v>4</v>
      </c>
      <c r="B14" s="400">
        <f>'TÁRIFA '!L31</f>
        <v>1.6662601438969573</v>
      </c>
      <c r="C14" s="383">
        <f aca="true" t="shared" si="1" ref="C14:C24">B14/$B$42</f>
        <v>0.15797608697591903</v>
      </c>
      <c r="D14" s="384">
        <f>C14*'TÁRIFA '!$L$60</f>
        <v>0.949179123984293</v>
      </c>
      <c r="E14" s="385">
        <f>D14*'TÁRIFA '!$L$14</f>
        <v>1656116.3453783067</v>
      </c>
      <c r="F14" s="385">
        <f>E14*'[1]TÁRIFA '!$T$17</f>
        <v>19873396.14453968</v>
      </c>
    </row>
    <row r="15" spans="1:6" ht="15.75">
      <c r="A15" s="386" t="s">
        <v>5</v>
      </c>
      <c r="B15" s="400">
        <f>'TÁRIFA '!L32</f>
        <v>0.8915586311785372</v>
      </c>
      <c r="C15" s="383">
        <f t="shared" si="1"/>
        <v>0.08452758375039297</v>
      </c>
      <c r="D15" s="384">
        <f>C15*'TÁRIFA '!$L$60</f>
        <v>0.5078731815210554</v>
      </c>
      <c r="E15" s="385">
        <f>D15*'TÁRIFA '!$L$14</f>
        <v>886131.0326397592</v>
      </c>
      <c r="F15" s="385">
        <f>E15*'[1]TÁRIFA '!$T$17</f>
        <v>10633572.391677111</v>
      </c>
    </row>
    <row r="16" spans="1:6" ht="15.75">
      <c r="A16" s="386" t="s">
        <v>59</v>
      </c>
      <c r="B16" s="400">
        <f>'TÁRIFA '!L33</f>
        <v>0.1074255864043332</v>
      </c>
      <c r="C16" s="383">
        <f t="shared" si="1"/>
        <v>0.010184888502199884</v>
      </c>
      <c r="D16" s="384">
        <f>C16*'TÁRIFA '!$L$60</f>
        <v>0.06119460059717399</v>
      </c>
      <c r="E16" s="385">
        <f>D16*'TÁRIFA '!$L$14</f>
        <v>106771.60478674201</v>
      </c>
      <c r="F16" s="385">
        <f>E16*'[1]TÁRIFA '!$T$17</f>
        <v>1281259.2574409042</v>
      </c>
    </row>
    <row r="17" spans="1:6" ht="15.75">
      <c r="A17" s="382" t="s">
        <v>6</v>
      </c>
      <c r="B17" s="400">
        <f>'TÁRIFA '!L34</f>
        <v>0.3598079887997767</v>
      </c>
      <c r="C17" s="383">
        <f t="shared" si="1"/>
        <v>0.0341129554958491</v>
      </c>
      <c r="D17" s="384">
        <f>C17*'TÁRIFA '!$L$60</f>
        <v>0.2049633323238405</v>
      </c>
      <c r="E17" s="385">
        <f>D17*'TÁRIFA '!$L$14</f>
        <v>357617.56267864903</v>
      </c>
      <c r="F17" s="385">
        <f>E17*'[1]TÁRIFA '!$T$17</f>
        <v>4291410.752143788</v>
      </c>
    </row>
    <row r="18" spans="1:6" ht="15.75">
      <c r="A18" s="382" t="s">
        <v>44</v>
      </c>
      <c r="B18" s="400">
        <f>'TÁRIFA '!L35</f>
        <v>0.9451569323470931</v>
      </c>
      <c r="C18" s="383">
        <f t="shared" si="1"/>
        <v>0.08960917315177093</v>
      </c>
      <c r="D18" s="384">
        <f>C18*'TÁRIFA '!$L$60</f>
        <v>0.5384052618426995</v>
      </c>
      <c r="E18" s="385">
        <f>D18*'TÁRIFA '!$L$14</f>
        <v>939403.04</v>
      </c>
      <c r="F18" s="385">
        <f>E18*'[1]TÁRIFA '!$T$17</f>
        <v>11272836.48</v>
      </c>
    </row>
    <row r="19" spans="1:6" ht="15.75">
      <c r="A19" s="382" t="s">
        <v>7</v>
      </c>
      <c r="B19" s="400">
        <f>'TÁRIFA '!L36</f>
        <v>0.019090891637723085</v>
      </c>
      <c r="C19" s="383">
        <f t="shared" si="1"/>
        <v>0.0018099840945336161</v>
      </c>
      <c r="D19" s="384">
        <f>C19*'TÁRIFA '!$L$60</f>
        <v>0.01087505805569677</v>
      </c>
      <c r="E19" s="385">
        <f>D19*'TÁRIFA '!$L$14</f>
        <v>18974.670794883055</v>
      </c>
      <c r="F19" s="385">
        <f>E19*'[1]TÁRIFA '!$T$17</f>
        <v>227696.04953859665</v>
      </c>
    </row>
    <row r="20" spans="1:6" ht="15.75">
      <c r="A20" s="382" t="s">
        <v>8</v>
      </c>
      <c r="B20" s="400">
        <f>'TÁRIFA '!L37</f>
        <v>0</v>
      </c>
      <c r="C20" s="383">
        <f t="shared" si="1"/>
        <v>0</v>
      </c>
      <c r="D20" s="384">
        <f>C20*'TÁRIFA '!$L$60</f>
        <v>0</v>
      </c>
      <c r="E20" s="385">
        <f>D20*'TÁRIFA '!$L$14</f>
        <v>0</v>
      </c>
      <c r="F20" s="385">
        <f>E20*'[1]TÁRIFA '!$T$17</f>
        <v>0</v>
      </c>
    </row>
    <row r="21" spans="1:6" ht="15.75">
      <c r="A21" s="382" t="s">
        <v>72</v>
      </c>
      <c r="B21" s="400">
        <f>'TÁRIFA '!L38</f>
        <v>0.03380575479033879</v>
      </c>
      <c r="C21" s="383">
        <f t="shared" si="1"/>
        <v>0.003205082278782161</v>
      </c>
      <c r="D21" s="384">
        <f>C21*'TÁRIFA '!$L$60</f>
        <v>0.019257327155696474</v>
      </c>
      <c r="E21" s="385">
        <f>D21*'TÁRIFA '!$L$14</f>
        <v>33599.95333333334</v>
      </c>
      <c r="F21" s="385">
        <f>E21*'[1]TÁRIFA '!$T$17</f>
        <v>403199.44000000006</v>
      </c>
    </row>
    <row r="22" spans="1:6" ht="15.75">
      <c r="A22" s="382" t="s">
        <v>12</v>
      </c>
      <c r="B22" s="400">
        <f>'TÁRIFA '!L39</f>
        <v>0.2798506579553819</v>
      </c>
      <c r="C22" s="383">
        <f t="shared" si="1"/>
        <v>0.026532298718993746</v>
      </c>
      <c r="D22" s="384">
        <f>C22*'TÁRIFA '!$L$60</f>
        <v>0.15941592514076486</v>
      </c>
      <c r="E22" s="385">
        <f>D22*'TÁRIFA '!$L$14</f>
        <v>278146.9931945048</v>
      </c>
      <c r="F22" s="385">
        <f>E22*'[1]TÁRIFA '!$T$17</f>
        <v>3337763.9183340576</v>
      </c>
    </row>
    <row r="23" spans="1:6" ht="15.75">
      <c r="A23" s="382" t="s">
        <v>10</v>
      </c>
      <c r="B23" s="400">
        <f>'TÁRIFA '!L40</f>
        <v>0.46008851026963316</v>
      </c>
      <c r="C23" s="383">
        <f t="shared" si="1"/>
        <v>0.04362042912758486</v>
      </c>
      <c r="D23" s="384">
        <f>C23*'TÁRIFA '!$L$60</f>
        <v>0.2620877722680349</v>
      </c>
      <c r="E23" s="385">
        <f>D23*'TÁRIFA '!$L$14</f>
        <v>457287.6000000001</v>
      </c>
      <c r="F23" s="385">
        <f>E23*'[1]TÁRIFA '!$T$17</f>
        <v>5487451.200000001</v>
      </c>
    </row>
    <row r="24" spans="1:6" ht="15.75">
      <c r="A24" s="382" t="s">
        <v>11</v>
      </c>
      <c r="B24" s="400">
        <f>'TÁRIFA '!L41</f>
        <v>0.18498710678515082</v>
      </c>
      <c r="C24" s="383">
        <f t="shared" si="1"/>
        <v>0.017538401418261258</v>
      </c>
      <c r="D24" s="384">
        <f>C24*'TÁRIFA '!$L$60</f>
        <v>0.10537724292922694</v>
      </c>
      <c r="E24" s="385">
        <f>D24*'TÁRIFA '!$L$14</f>
        <v>183860.94893600003</v>
      </c>
      <c r="F24" s="385">
        <f>E24*'[1]TÁRIFA '!$T$17</f>
        <v>2206331.3872320005</v>
      </c>
    </row>
    <row r="25" spans="1:6" ht="15.75">
      <c r="A25" s="374" t="s">
        <v>151</v>
      </c>
      <c r="B25" s="399">
        <f>SUM(B13:B24)</f>
        <v>5.69038531306116</v>
      </c>
      <c r="C25" s="375">
        <f>SUM(C13:C24)</f>
        <v>0.5394984741339606</v>
      </c>
      <c r="D25" s="376">
        <f>SUM(D13:D24)</f>
        <v>3.241507615943128</v>
      </c>
      <c r="E25" s="377">
        <f>SUM(E13:E24)</f>
        <v>5655743.590206178</v>
      </c>
      <c r="F25" s="377">
        <f>SUM(F13:F24)</f>
        <v>67868923.08247413</v>
      </c>
    </row>
    <row r="26" spans="1:6" ht="15.75">
      <c r="A26" s="9"/>
      <c r="B26" s="365"/>
      <c r="C26" s="366"/>
      <c r="D26" s="378"/>
      <c r="E26" s="379"/>
      <c r="F26" s="380"/>
    </row>
    <row r="27" spans="1:6" ht="15.75">
      <c r="A27" s="368" t="s">
        <v>82</v>
      </c>
      <c r="B27" s="365">
        <f>B25+B10</f>
        <v>8.222166055584449</v>
      </c>
      <c r="C27" s="366">
        <f>C25+C10</f>
        <v>0.779533510829617</v>
      </c>
      <c r="D27" s="365">
        <f>D25+D10</f>
        <v>4.683727449449011</v>
      </c>
      <c r="E27" s="387">
        <f>E25+E10</f>
        <v>8172111.449069239</v>
      </c>
      <c r="F27" s="387">
        <f>F25+F10</f>
        <v>98065337.38883087</v>
      </c>
    </row>
    <row r="28" spans="1:6" ht="15.75">
      <c r="A28" s="9"/>
      <c r="B28" s="365" t="s">
        <v>106</v>
      </c>
      <c r="C28" s="366" t="s">
        <v>106</v>
      </c>
      <c r="D28" s="378" t="s">
        <v>106</v>
      </c>
      <c r="E28" s="379"/>
      <c r="F28" s="380"/>
    </row>
    <row r="29" spans="1:6" ht="15.75">
      <c r="A29" s="368" t="s">
        <v>83</v>
      </c>
      <c r="B29" s="365" t="s">
        <v>106</v>
      </c>
      <c r="C29" s="366" t="s">
        <v>106</v>
      </c>
      <c r="D29" s="378" t="s">
        <v>106</v>
      </c>
      <c r="E29" s="379"/>
      <c r="F29" s="381"/>
    </row>
    <row r="30" spans="1:6" ht="15.75">
      <c r="A30" s="369" t="s">
        <v>77</v>
      </c>
      <c r="B30" s="398">
        <f>'TÁRIFA '!L46</f>
        <v>0.8585812267834885</v>
      </c>
      <c r="C30" s="370">
        <f>B30/$B$42</f>
        <v>0.0814010363597987</v>
      </c>
      <c r="D30" s="371">
        <f>C30*'TÁRIFA '!$L$60</f>
        <v>0.489087721201659</v>
      </c>
      <c r="E30" s="372">
        <f>D30*'TÁRIFA '!$L$14</f>
        <v>853354.3869000002</v>
      </c>
      <c r="F30" s="372">
        <f>E30*'[1]TÁRIFA '!$T$17</f>
        <v>10240252.642800001</v>
      </c>
    </row>
    <row r="31" spans="1:6" ht="15.75">
      <c r="A31" s="369" t="s">
        <v>76</v>
      </c>
      <c r="B31" s="398">
        <f>'TÁRIFA '!L47</f>
        <v>0.013942076068776761</v>
      </c>
      <c r="C31" s="370">
        <f>B31/$B$42</f>
        <v>0.0013218311856843896</v>
      </c>
      <c r="D31" s="371">
        <f>C31*'TÁRIFA '!$L$60</f>
        <v>0.007942053705091967</v>
      </c>
      <c r="E31" s="372">
        <f>D31*'TÁRIFA '!$L$14</f>
        <v>13857.200000000003</v>
      </c>
      <c r="F31" s="372">
        <f>E31*'[1]TÁRIFA '!$T$17</f>
        <v>166286.40000000002</v>
      </c>
    </row>
    <row r="32" spans="1:6" ht="15.75">
      <c r="A32" s="369" t="s">
        <v>78</v>
      </c>
      <c r="B32" s="398">
        <f>'TÁRIFA '!L48</f>
        <v>0.42707863618171626</v>
      </c>
      <c r="C32" s="370">
        <f>B32/$B$42</f>
        <v>0.0404908033251091</v>
      </c>
      <c r="D32" s="371">
        <f>C32*'TÁRIFA '!$L$60</f>
        <v>0.24328381570437219</v>
      </c>
      <c r="E32" s="372">
        <f>D32*'TÁRIFA '!$L$14</f>
        <v>424478.68223520013</v>
      </c>
      <c r="F32" s="372">
        <f>E32*'[1]TÁRIFA '!$T$17</f>
        <v>5093744.186822401</v>
      </c>
    </row>
    <row r="33" spans="1:6" ht="15.75">
      <c r="A33" s="369" t="s">
        <v>79</v>
      </c>
      <c r="B33" s="398">
        <f>'TÁRIFA '!L49</f>
        <v>0.055768304275107046</v>
      </c>
      <c r="C33" s="370">
        <f>B33/$B$42</f>
        <v>0.0052873247427375585</v>
      </c>
      <c r="D33" s="371">
        <f>C33*'TÁRIFA '!$L$60</f>
        <v>0.03176821482036787</v>
      </c>
      <c r="E33" s="372">
        <f>D33*'TÁRIFA '!$L$14</f>
        <v>55428.80000000001</v>
      </c>
      <c r="F33" s="372">
        <f>E33*'[1]TÁRIFA '!$T$17</f>
        <v>665145.6000000001</v>
      </c>
    </row>
    <row r="34" spans="1:6" ht="15.75">
      <c r="A34" s="369" t="s">
        <v>80</v>
      </c>
      <c r="B34" s="398">
        <f>'TÁRIFA '!L50</f>
        <v>0.041826228206330286</v>
      </c>
      <c r="C34" s="370">
        <f>B34/$B$42</f>
        <v>0.003965493557053169</v>
      </c>
      <c r="D34" s="371">
        <f>C34*'TÁRIFA '!$L$60</f>
        <v>0.0238261611152759</v>
      </c>
      <c r="E34" s="372">
        <f>D34*'TÁRIFA '!$L$14</f>
        <v>41571.600000000006</v>
      </c>
      <c r="F34" s="372">
        <f>E34*'[1]TÁRIFA '!$T$17</f>
        <v>498859.20000000007</v>
      </c>
    </row>
    <row r="35" spans="1:6" ht="15.75">
      <c r="A35" s="374" t="s">
        <v>152</v>
      </c>
      <c r="B35" s="399">
        <f>SUM(B30:B34)</f>
        <v>1.3971964715154188</v>
      </c>
      <c r="C35" s="375">
        <f>SUM(C30:C34)</f>
        <v>0.13246648917038292</v>
      </c>
      <c r="D35" s="376">
        <f>SUM(D30:D34)</f>
        <v>0.7959079665467669</v>
      </c>
      <c r="E35" s="377">
        <f>SUM(E30:E34)</f>
        <v>1388690.6691352003</v>
      </c>
      <c r="F35" s="377">
        <f>SUM(F30:F34)</f>
        <v>16664288.029622402</v>
      </c>
    </row>
    <row r="36" spans="1:6" ht="15.75">
      <c r="A36" s="9"/>
      <c r="B36" s="365"/>
      <c r="C36" s="366"/>
      <c r="D36" s="378"/>
      <c r="E36" s="379"/>
      <c r="F36" s="380"/>
    </row>
    <row r="37" spans="1:6" ht="15.75">
      <c r="A37" s="368" t="s">
        <v>81</v>
      </c>
      <c r="B37" s="365">
        <f>B27+B35</f>
        <v>9.619362527099867</v>
      </c>
      <c r="C37" s="366">
        <f>C35+C27</f>
        <v>0.9119999999999999</v>
      </c>
      <c r="D37" s="365">
        <f>D27+D35</f>
        <v>5.479635415995777</v>
      </c>
      <c r="E37" s="387">
        <f>E27+E35</f>
        <v>9560802.118204439</v>
      </c>
      <c r="F37" s="387">
        <f>F27+F35</f>
        <v>114729625.41845328</v>
      </c>
    </row>
    <row r="38" spans="1:6" ht="15.75">
      <c r="A38" s="9"/>
      <c r="B38" s="365" t="s">
        <v>106</v>
      </c>
      <c r="C38" s="366" t="s">
        <v>106</v>
      </c>
      <c r="D38" s="378" t="s">
        <v>106</v>
      </c>
      <c r="E38" s="379"/>
      <c r="F38" s="380"/>
    </row>
    <row r="39" spans="1:6" ht="15.75">
      <c r="A39" s="388" t="s">
        <v>84</v>
      </c>
      <c r="B39" s="400">
        <f>'TÁRIFA '!L54</f>
        <v>0.5062822382684153</v>
      </c>
      <c r="C39" s="383">
        <f>B39/B42</f>
        <v>0.04800000000000011</v>
      </c>
      <c r="D39" s="384">
        <f>C39*'TÁRIFA '!L60</f>
        <v>0.28840186399977846</v>
      </c>
      <c r="E39" s="385">
        <f>D39*'TÁRIFA '!L14</f>
        <v>503200.11148444546</v>
      </c>
      <c r="F39" s="385">
        <f>E39*'[1]TÁRIFA '!$T$17</f>
        <v>6038401.337813346</v>
      </c>
    </row>
    <row r="40" spans="1:6" ht="15.75">
      <c r="A40" s="389" t="s">
        <v>9</v>
      </c>
      <c r="B40" s="400">
        <f>'TÁRIFA '!L55</f>
        <v>0.42190186522367945</v>
      </c>
      <c r="C40" s="383">
        <f>B40/B42</f>
        <v>0.04000000000000009</v>
      </c>
      <c r="D40" s="384">
        <f>C40*'TÁRIFA '!L60</f>
        <v>0.24033488666648206</v>
      </c>
      <c r="E40" s="385">
        <f>D40*'TÁRIFA '!L14</f>
        <v>419333.42623703793</v>
      </c>
      <c r="F40" s="385">
        <f>E40*'[1]TÁRIFA '!$T$17</f>
        <v>5032001.114844455</v>
      </c>
    </row>
    <row r="41" spans="1:6" ht="16.5" thickBot="1">
      <c r="A41" s="390"/>
      <c r="B41" s="365" t="s">
        <v>106</v>
      </c>
      <c r="C41" s="391"/>
      <c r="D41" s="378" t="s">
        <v>106</v>
      </c>
      <c r="E41" s="379"/>
      <c r="F41" s="380"/>
    </row>
    <row r="42" spans="1:6" ht="16.5" thickBot="1">
      <c r="A42" s="404" t="s">
        <v>153</v>
      </c>
      <c r="B42" s="405">
        <f>B37+B39+B40</f>
        <v>10.547546630591961</v>
      </c>
      <c r="C42" s="406">
        <f>C37+C39+C40</f>
        <v>1.0000000000000002</v>
      </c>
      <c r="D42" s="407">
        <f>C42*'TÁRIFA '!L60</f>
        <v>6.008372166662039</v>
      </c>
      <c r="E42" s="408">
        <f>D42*'TÁRIFA '!L14</f>
        <v>10483335.655925926</v>
      </c>
      <c r="F42" s="392">
        <f>F37+F39+F40</f>
        <v>125800027.87111108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Engenharia-07</cp:lastModifiedBy>
  <cp:lastPrinted>2021-08-24T22:42:19Z</cp:lastPrinted>
  <dcterms:created xsi:type="dcterms:W3CDTF">1999-04-07T20:57:43Z</dcterms:created>
  <dcterms:modified xsi:type="dcterms:W3CDTF">2023-12-13T13:44:58Z</dcterms:modified>
  <cp:category/>
  <cp:version/>
  <cp:contentType/>
  <cp:contentStatus/>
</cp:coreProperties>
</file>