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315" tabRatio="978" activeTab="2"/>
  </bookViews>
  <sheets>
    <sheet name="KM, PASSAGEIROS E PESSOAL" sheetId="1" r:id="rId1"/>
    <sheet name="FROTA E CUSTOS" sheetId="2" r:id="rId2"/>
    <sheet name="TÁRIFA " sheetId="3" r:id="rId3"/>
    <sheet name="REMUNERAÇÃO PROJETADA" sheetId="4" r:id="rId4"/>
  </sheets>
  <externalReferences>
    <externalReference r:id="rId7"/>
  </externalReferences>
  <definedNames>
    <definedName name="_xlfn.AVERAGEIF" hidden="1">#NAME?</definedName>
    <definedName name="_xlnm.Print_Area" localSheetId="1">'FROTA E CUSTOS'!$B$2:$O$37</definedName>
    <definedName name="_xlnm.Print_Area" localSheetId="0">'KM, PASSAGEIROS E PESSOAL'!$B$1:$Q$26</definedName>
    <definedName name="_xlnm.Print_Area" localSheetId="2">'TÁRIFA '!$B$2:$M$60</definedName>
  </definedNames>
  <calcPr fullCalcOnLoad="1"/>
</workbook>
</file>

<file path=xl/comments1.xml><?xml version="1.0" encoding="utf-8"?>
<comments xmlns="http://schemas.openxmlformats.org/spreadsheetml/2006/main">
  <authors>
    <author>Jo???o Ney Mar???a</author>
  </authors>
  <commentList>
    <comment ref="L13" authorId="0">
      <text>
        <r>
          <rPr>
            <sz val="9"/>
            <rFont val="Calibri"/>
            <family val="2"/>
          </rPr>
          <t>1/11</t>
        </r>
      </text>
    </comment>
    <comment ref="O13" authorId="0">
      <text>
        <r>
          <rPr>
            <sz val="9"/>
            <rFont val="Calibri"/>
            <family val="2"/>
          </rPr>
          <t>1/11</t>
        </r>
      </text>
    </comment>
    <comment ref="L15" authorId="0">
      <text>
        <r>
          <rPr>
            <sz val="9"/>
            <rFont val="Calibri"/>
            <family val="2"/>
          </rPr>
          <t>10% da tripulação estimada</t>
        </r>
      </text>
    </comment>
    <comment ref="O15" authorId="0">
      <text>
        <r>
          <rPr>
            <sz val="9"/>
            <rFont val="Calibri"/>
            <family val="2"/>
          </rPr>
          <t>10% da tripulação estimada</t>
        </r>
      </text>
    </comment>
    <comment ref="L17" authorId="0">
      <text>
        <r>
          <rPr>
            <sz val="9"/>
            <rFont val="Calibri"/>
            <family val="2"/>
          </rPr>
          <t>5% da Tripulação Total</t>
        </r>
      </text>
    </comment>
    <comment ref="O17" authorId="0">
      <text>
        <r>
          <rPr>
            <sz val="9"/>
            <rFont val="Calibri"/>
            <family val="2"/>
          </rPr>
          <t>5% da Tripulação Total</t>
        </r>
      </text>
    </comment>
  </commentList>
</comments>
</file>

<file path=xl/comments3.xml><?xml version="1.0" encoding="utf-8"?>
<comments xmlns="http://schemas.openxmlformats.org/spreadsheetml/2006/main">
  <authors>
    <author>IGLENE</author>
  </authors>
  <commentList>
    <comment ref="C20" authorId="0">
      <text>
        <r>
          <rPr>
            <b/>
            <sz val="9"/>
            <rFont val="Tahoma"/>
            <family val="2"/>
          </rPr>
          <t>0,3368 litros / km</t>
        </r>
      </text>
    </comment>
    <comment ref="D20" authorId="0">
      <text>
        <r>
          <rPr>
            <b/>
            <sz val="9"/>
            <rFont val="Tahoma"/>
            <family val="2"/>
          </rPr>
          <t>Preço do litro do óleo diesel S500 com desoneração ICMS</t>
        </r>
      </text>
    </comment>
    <comment ref="G20" authorId="0">
      <text>
        <r>
          <rPr>
            <b/>
            <sz val="9"/>
            <rFont val="Tahoma"/>
            <family val="2"/>
          </rPr>
          <t>Preço do litro do óleo diesel S500 com desoneração ICMS</t>
        </r>
      </text>
    </comment>
    <comment ref="J20" authorId="0">
      <text>
        <r>
          <rPr>
            <b/>
            <sz val="9"/>
            <rFont val="Tahoma"/>
            <family val="2"/>
          </rPr>
          <t>Preço do litro do óleo diesel S500 com desoneração ICMS</t>
        </r>
      </text>
    </comment>
    <comment ref="D21" authorId="0">
      <text>
        <r>
          <rPr>
            <b/>
            <sz val="9"/>
            <rFont val="Tahoma"/>
            <family val="2"/>
          </rPr>
          <t>Preço do litro do óleo diesel S10 com desoneração ICMS</t>
        </r>
      </text>
    </comment>
    <comment ref="G21" authorId="0">
      <text>
        <r>
          <rPr>
            <b/>
            <sz val="9"/>
            <rFont val="Tahoma"/>
            <family val="2"/>
          </rPr>
          <t>Preço do litro do óleo diesel S10 com desoneração ICMS</t>
        </r>
      </text>
    </comment>
    <comment ref="J21" authorId="0">
      <text>
        <r>
          <rPr>
            <b/>
            <sz val="9"/>
            <rFont val="Tahoma"/>
            <family val="2"/>
          </rPr>
          <t>Preço do litro do óleo diesel S10 com desoneração ICMS</t>
        </r>
      </text>
    </comment>
    <comment ref="C21" authorId="0">
      <text>
        <r>
          <rPr>
            <b/>
            <sz val="9"/>
            <rFont val="Tahoma"/>
            <family val="2"/>
          </rPr>
          <t>0,3448 litros / km</t>
        </r>
      </text>
    </comment>
    <comment ref="C22" authorId="0">
      <text>
        <r>
          <rPr>
            <b/>
            <sz val="9"/>
            <rFont val="Tahoma"/>
            <family val="2"/>
          </rPr>
          <t>0,0019 litros / km</t>
        </r>
      </text>
    </comment>
    <comment ref="D22" authorId="0">
      <text>
        <r>
          <rPr>
            <b/>
            <sz val="9"/>
            <rFont val="Tahoma"/>
            <family val="2"/>
          </rPr>
          <t>Preço do litro do Arla</t>
        </r>
      </text>
    </comment>
    <comment ref="G22" authorId="0">
      <text>
        <r>
          <rPr>
            <b/>
            <sz val="9"/>
            <rFont val="Tahoma"/>
            <family val="2"/>
          </rPr>
          <t>Preço do litro do Arla</t>
        </r>
      </text>
    </comment>
    <comment ref="J22" authorId="0">
      <text>
        <r>
          <rPr>
            <b/>
            <sz val="9"/>
            <rFont val="Tahoma"/>
            <family val="2"/>
          </rPr>
          <t>Preço do litro do Arla</t>
        </r>
      </text>
    </comment>
    <comment ref="F20" authorId="0">
      <text>
        <r>
          <rPr>
            <b/>
            <sz val="9"/>
            <rFont val="Tahoma"/>
            <family val="2"/>
          </rPr>
          <t>0,3982 litros / km</t>
        </r>
      </text>
    </comment>
    <comment ref="F21" authorId="0">
      <text>
        <r>
          <rPr>
            <b/>
            <sz val="9"/>
            <rFont val="Tahoma"/>
            <family val="2"/>
          </rPr>
          <t>0,3968 litros / km</t>
        </r>
      </text>
    </comment>
    <comment ref="F22" authorId="0">
      <text>
        <r>
          <rPr>
            <b/>
            <sz val="9"/>
            <rFont val="Tahoma"/>
            <family val="2"/>
          </rPr>
          <t>0,0068 litros / km</t>
        </r>
      </text>
    </comment>
    <comment ref="I20" authorId="0">
      <text>
        <r>
          <rPr>
            <b/>
            <sz val="9"/>
            <rFont val="Tahoma"/>
            <family val="2"/>
          </rPr>
          <t>0,7938 litros / km</t>
        </r>
      </text>
    </comment>
    <comment ref="I21" authorId="0">
      <text>
        <r>
          <rPr>
            <b/>
            <sz val="9"/>
            <rFont val="Tahoma"/>
            <family val="2"/>
          </rPr>
          <t>0,7463 litros / km</t>
        </r>
      </text>
    </comment>
    <comment ref="I22" authorId="0">
      <text>
        <r>
          <rPr>
            <b/>
            <sz val="9"/>
            <rFont val="Tahoma"/>
            <family val="2"/>
          </rPr>
          <t>0,0276 litros / km</t>
        </r>
      </text>
    </comment>
    <comment ref="C23" authorId="0">
      <text>
        <r>
          <rPr>
            <b/>
            <sz val="9"/>
            <rFont val="Tahoma"/>
            <family val="2"/>
          </rPr>
          <t>5% do custo do óleo diesel</t>
        </r>
      </text>
    </comment>
    <comment ref="D23" authorId="0">
      <text>
        <r>
          <rPr>
            <b/>
            <sz val="9"/>
            <rFont val="Tahoma"/>
            <family val="2"/>
          </rPr>
          <t>Custo do óleo diesel da categoria por km</t>
        </r>
      </text>
    </comment>
    <comment ref="F23" authorId="0">
      <text>
        <r>
          <rPr>
            <b/>
            <sz val="9"/>
            <rFont val="Tahoma"/>
            <family val="2"/>
          </rPr>
          <t>5% do custo do óleo diesel</t>
        </r>
      </text>
    </comment>
    <comment ref="I23" authorId="0">
      <text>
        <r>
          <rPr>
            <b/>
            <sz val="9"/>
            <rFont val="Tahoma"/>
            <family val="2"/>
          </rPr>
          <t>5% do custo do óleo diesel</t>
        </r>
      </text>
    </comment>
    <comment ref="C24" authorId="0">
      <text>
        <r>
          <rPr>
            <b/>
            <sz val="9"/>
            <rFont val="Tahoma"/>
            <family val="2"/>
          </rPr>
          <t>6 pneus / vida util (105.000 km)</t>
        </r>
      </text>
    </comment>
    <comment ref="F24" authorId="0">
      <text>
        <r>
          <rPr>
            <b/>
            <sz val="9"/>
            <rFont val="Tahoma"/>
            <family val="2"/>
          </rPr>
          <t>6 pneus / vida util (105.000 km)</t>
        </r>
      </text>
    </comment>
    <comment ref="I25" authorId="0">
      <text>
        <r>
          <rPr>
            <b/>
            <sz val="9"/>
            <rFont val="Tahoma"/>
            <family val="2"/>
          </rPr>
          <t>10 pneus / vida util (105.000 km)</t>
        </r>
      </text>
    </comment>
    <comment ref="D24" authorId="0">
      <text>
        <r>
          <rPr>
            <b/>
            <sz val="9"/>
            <rFont val="Tahoma"/>
            <family val="2"/>
          </rPr>
          <t>Preço do pneu:
PNEU 275/80 (Midi e Conv)</t>
        </r>
      </text>
    </comment>
    <comment ref="G24" authorId="0">
      <text>
        <r>
          <rPr>
            <b/>
            <sz val="9"/>
            <rFont val="Tahoma"/>
            <family val="2"/>
          </rPr>
          <t>Preço do pneu:
PNEU 275/80 (Midi e Conv)</t>
        </r>
      </text>
    </comment>
    <comment ref="J25" authorId="0">
      <text>
        <r>
          <rPr>
            <b/>
            <sz val="9"/>
            <rFont val="Tahoma"/>
            <family val="2"/>
          </rPr>
          <t>Preço do pneu:
PNEU 295/80 (Articulado)</t>
        </r>
      </text>
    </comment>
    <comment ref="C26" authorId="0">
      <text>
        <r>
          <rPr>
            <b/>
            <sz val="9"/>
            <rFont val="Tahoma"/>
            <family val="2"/>
          </rPr>
          <t>2,5 recapagens x 6 pneus / vida util (105.000 km)</t>
        </r>
      </text>
    </comment>
    <comment ref="F26" authorId="0">
      <text>
        <r>
          <rPr>
            <b/>
            <sz val="9"/>
            <rFont val="Tahoma"/>
            <family val="2"/>
          </rPr>
          <t>2,5 recapagens x 6 pneus / vida util (105.000 km)</t>
        </r>
      </text>
    </comment>
    <comment ref="I27" authorId="0">
      <text>
        <r>
          <rPr>
            <b/>
            <sz val="9"/>
            <rFont val="Tahoma"/>
            <family val="2"/>
          </rPr>
          <t>2,5 recapagens x 10 pneus / vida util (105.000 km)</t>
        </r>
      </text>
    </comment>
    <comment ref="D26" authorId="0">
      <text>
        <r>
          <rPr>
            <b/>
            <sz val="9"/>
            <rFont val="Tahoma"/>
            <family val="2"/>
          </rPr>
          <t>Preço da recapagem do pneu:
PNEU 275/80 (Midi e Conv)</t>
        </r>
      </text>
    </comment>
    <comment ref="G26" authorId="0">
      <text>
        <r>
          <rPr>
            <b/>
            <sz val="9"/>
            <rFont val="Tahoma"/>
            <family val="2"/>
          </rPr>
          <t>Preço da recapagem do pneu:
PNEU 275/80 (Midi e Conv)</t>
        </r>
      </text>
    </comment>
    <comment ref="J27" authorId="0">
      <text>
        <r>
          <rPr>
            <b/>
            <sz val="9"/>
            <rFont val="Tahoma"/>
            <family val="2"/>
          </rPr>
          <t>Preço da recapagem do pneu:
PNEU 295/80 (Articulado)</t>
        </r>
      </text>
    </comment>
    <comment ref="C30" authorId="0">
      <text>
        <r>
          <rPr>
            <b/>
            <sz val="9"/>
            <rFont val="Tahoma"/>
            <family val="2"/>
          </rPr>
          <t>7,68% do valor de cada tipo de veículo novo, que indica um coeficiente de 0,0064</t>
        </r>
      </text>
    </comment>
    <comment ref="F30" authorId="0">
      <text>
        <r>
          <rPr>
            <b/>
            <sz val="9"/>
            <rFont val="Tahoma"/>
            <family val="2"/>
          </rPr>
          <t>7,68% do valor de cada tipo de veículo novo, que indica um coeficiente de 0,0064</t>
        </r>
      </text>
    </comment>
    <comment ref="I30" authorId="0">
      <text>
        <r>
          <rPr>
            <b/>
            <sz val="9"/>
            <rFont val="Tahoma"/>
            <family val="2"/>
          </rPr>
          <t>7,68% do valor de cada tipo de veículo novo, que indica um coeficiente de 0,0064</t>
        </r>
      </text>
    </comment>
    <comment ref="D30" authorId="0">
      <text>
        <r>
          <rPr>
            <b/>
            <sz val="9"/>
            <rFont val="Tahoma"/>
            <family val="2"/>
          </rPr>
          <t>Preço de um veículo MIDI novo s/pneu</t>
        </r>
      </text>
    </comment>
    <comment ref="G30" authorId="0">
      <text>
        <r>
          <rPr>
            <b/>
            <sz val="9"/>
            <rFont val="Tahoma"/>
            <family val="2"/>
          </rPr>
          <t>Preço de um veículo Convencional novo s/pneu</t>
        </r>
      </text>
    </comment>
    <comment ref="J30" authorId="0">
      <text>
        <r>
          <rPr>
            <b/>
            <sz val="9"/>
            <rFont val="Tahoma"/>
            <family val="2"/>
          </rPr>
          <t>Preço de um veículo Articulado novo s/pneu</t>
        </r>
      </text>
    </comment>
    <comment ref="D31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G31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J31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G32" authorId="0">
      <text>
        <r>
          <rPr>
            <b/>
            <sz val="9"/>
            <rFont val="Tahoma"/>
            <family val="2"/>
          </rPr>
          <t>Salário de cobrador</t>
        </r>
      </text>
    </comment>
    <comment ref="J32" authorId="0">
      <text>
        <r>
          <rPr>
            <b/>
            <sz val="9"/>
            <rFont val="Tahoma"/>
            <family val="2"/>
          </rPr>
          <t>Salário de cobrador</t>
        </r>
      </text>
    </comment>
    <comment ref="C31" authorId="0">
      <text>
        <r>
          <rPr>
            <b/>
            <sz val="9"/>
            <rFont val="Tahoma"/>
            <family val="2"/>
          </rPr>
          <t>Fator utilização motorista</t>
        </r>
      </text>
    </comment>
    <comment ref="F31" authorId="0">
      <text>
        <r>
          <rPr>
            <b/>
            <sz val="9"/>
            <rFont val="Tahoma"/>
            <family val="2"/>
          </rPr>
          <t>Fator utilização motorista</t>
        </r>
      </text>
    </comment>
    <comment ref="I31" authorId="0">
      <text>
        <r>
          <rPr>
            <b/>
            <sz val="9"/>
            <rFont val="Tahoma"/>
            <family val="2"/>
          </rPr>
          <t>Fator utilização motorista</t>
        </r>
      </text>
    </comment>
    <comment ref="F32" authorId="0">
      <text>
        <r>
          <rPr>
            <b/>
            <sz val="9"/>
            <rFont val="Tahoma"/>
            <family val="2"/>
          </rPr>
          <t>Fator utilização cobrador</t>
        </r>
      </text>
    </comment>
    <comment ref="I32" authorId="0">
      <text>
        <r>
          <rPr>
            <b/>
            <sz val="9"/>
            <rFont val="Tahoma"/>
            <family val="2"/>
          </rPr>
          <t>Fator utilização cobrador</t>
        </r>
      </text>
    </comment>
    <comment ref="D33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G33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J33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C33" authorId="0">
      <text>
        <r>
          <rPr>
            <b/>
            <sz val="9"/>
            <rFont val="Tahoma"/>
            <family val="2"/>
          </rPr>
          <t>1 supervisor para cada 5 ônibus (0,2)</t>
        </r>
      </text>
    </comment>
    <comment ref="F33" authorId="0">
      <text>
        <r>
          <rPr>
            <b/>
            <sz val="9"/>
            <rFont val="Tahoma"/>
            <family val="2"/>
          </rPr>
          <t>1 supervisor para cada 5 ônibus (0,2)</t>
        </r>
      </text>
    </comment>
    <comment ref="I33" authorId="0">
      <text>
        <r>
          <rPr>
            <b/>
            <sz val="9"/>
            <rFont val="Tahoma"/>
            <family val="2"/>
          </rPr>
          <t>1 supervisor para cada 5 ônibus (0,2)</t>
        </r>
      </text>
    </comment>
    <comment ref="E31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H31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K31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E33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H33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K33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C34" authorId="0">
      <text>
        <r>
          <rPr>
            <b/>
            <sz val="9"/>
            <rFont val="Tahoma"/>
            <family val="2"/>
          </rPr>
          <t>0,135 do custo do pessoal de tráfego</t>
        </r>
      </text>
    </comment>
    <comment ref="F34" authorId="0">
      <text>
        <r>
          <rPr>
            <b/>
            <sz val="9"/>
            <rFont val="Tahoma"/>
            <family val="2"/>
          </rPr>
          <t>0,135 do custo do pessoal de tráfego</t>
        </r>
      </text>
    </comment>
    <comment ref="I34" authorId="0">
      <text>
        <r>
          <rPr>
            <b/>
            <sz val="9"/>
            <rFont val="Tahoma"/>
            <family val="2"/>
          </rPr>
          <t>0,135 do custo do pessoal de tráfego</t>
        </r>
      </text>
    </comment>
    <comment ref="D34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G34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J34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D35" authorId="0">
      <text>
        <r>
          <rPr>
            <b/>
            <sz val="9"/>
            <rFont val="Tahoma"/>
            <family val="2"/>
          </rPr>
          <t>Valor do vale refeição</t>
        </r>
      </text>
    </comment>
    <comment ref="G35" authorId="0">
      <text>
        <r>
          <rPr>
            <b/>
            <sz val="9"/>
            <rFont val="Tahoma"/>
            <family val="2"/>
          </rPr>
          <t>Valor do vale refeição</t>
        </r>
      </text>
    </comment>
    <comment ref="J35" authorId="0">
      <text>
        <r>
          <rPr>
            <b/>
            <sz val="9"/>
            <rFont val="Tahoma"/>
            <family val="2"/>
          </rPr>
          <t>Valor do vale refeição</t>
        </r>
      </text>
    </comment>
    <comment ref="C35" authorId="0">
      <text>
        <r>
          <rPr>
            <b/>
            <sz val="9"/>
            <rFont val="Tahoma"/>
            <family val="2"/>
          </rPr>
          <t>Fator utilização concessionária</t>
        </r>
      </text>
    </comment>
    <comment ref="E36" authorId="0">
      <text>
        <r>
          <rPr>
            <b/>
            <sz val="9"/>
            <rFont val="Tahoma"/>
            <family val="2"/>
          </rPr>
          <t>10% de um salário base mensal de motorista para os gastos anuais de uniforme por funcionário das categorias Motorista, Cobrador e Fiscal/Despachante</t>
        </r>
      </text>
    </comment>
    <comment ref="H36" authorId="0">
      <text>
        <r>
          <rPr>
            <b/>
            <sz val="9"/>
            <rFont val="Tahoma"/>
            <family val="2"/>
          </rPr>
          <t>10% de um salário base mensal de motorista para os gastos anuais de uniforme por funcionário das categorias Motorista, Cobrador e Fiscal/Despachante</t>
        </r>
      </text>
    </comment>
    <comment ref="K36" authorId="0">
      <text>
        <r>
          <rPr>
            <b/>
            <sz val="9"/>
            <rFont val="Tahoma"/>
            <family val="2"/>
          </rPr>
          <t>10% de um salário base mensal de motorista para os gastos anuais de uniforme por funcionário das categorias Motorista, Cobrador e Fiscal/Despachante</t>
        </r>
      </text>
    </comment>
    <comment ref="D37" authorId="0">
      <text>
        <r>
          <rPr>
            <b/>
            <sz val="9"/>
            <rFont val="Tahoma"/>
            <family val="2"/>
          </rPr>
          <t>Gastos com controle de portaria e limpeza, terminais de Oficinas, NR, Uvaranas e Central. (Uvaranas limpa banheiro)</t>
        </r>
      </text>
    </comment>
    <comment ref="G37" authorId="0">
      <text>
        <r>
          <rPr>
            <b/>
            <sz val="9"/>
            <rFont val="Tahoma"/>
            <family val="2"/>
          </rPr>
          <t>Gastos com controle de portaria e limpeza, terminais de Oficinas, NR, Uvaranas e Central. (Uvaranas limpa banheiro)</t>
        </r>
      </text>
    </comment>
    <comment ref="J37" authorId="0">
      <text>
        <r>
          <rPr>
            <b/>
            <sz val="9"/>
            <rFont val="Tahoma"/>
            <family val="2"/>
          </rPr>
          <t>Gastos com controle de portaria e limpeza, terminais de Oficinas, NR, Uvaranas e Central. (Uvaranas limpa banheiro)</t>
        </r>
      </text>
    </comment>
    <comment ref="D38" authorId="0">
      <text>
        <r>
          <rPr>
            <b/>
            <sz val="9"/>
            <rFont val="Tahoma"/>
            <family val="2"/>
          </rPr>
          <t>Valor de seguro obrigatório + contra terceiro</t>
        </r>
      </text>
    </comment>
    <comment ref="G38" authorId="0">
      <text>
        <r>
          <rPr>
            <b/>
            <sz val="9"/>
            <rFont val="Tahoma"/>
            <family val="2"/>
          </rPr>
          <t>Valor de seguro obrigatório + contra terceiro</t>
        </r>
      </text>
    </comment>
    <comment ref="J38" authorId="0">
      <text>
        <r>
          <rPr>
            <b/>
            <sz val="9"/>
            <rFont val="Tahoma"/>
            <family val="2"/>
          </rPr>
          <t>Valor de seguro obrigatório + contra terceiro</t>
        </r>
      </text>
    </comment>
    <comment ref="C39" authorId="0">
      <text>
        <r>
          <rPr>
            <b/>
            <sz val="9"/>
            <rFont val="Tahoma"/>
            <family val="2"/>
          </rPr>
          <t>0,105 do custo do pessoal de tráfego</t>
        </r>
      </text>
    </comment>
    <comment ref="F39" authorId="0">
      <text>
        <r>
          <rPr>
            <b/>
            <sz val="9"/>
            <rFont val="Tahoma"/>
            <family val="2"/>
          </rPr>
          <t>0,105 do custo do pessoal de tráfego</t>
        </r>
      </text>
    </comment>
    <comment ref="I39" authorId="0">
      <text>
        <r>
          <rPr>
            <b/>
            <sz val="9"/>
            <rFont val="Tahoma"/>
            <family val="2"/>
          </rPr>
          <t>0,105 do custo do pessoal de tráfego</t>
        </r>
      </text>
    </comment>
    <comment ref="D39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G39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J39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C40" authorId="0">
      <text>
        <r>
          <rPr>
            <b/>
            <sz val="9"/>
            <rFont val="Tahoma"/>
            <family val="2"/>
          </rPr>
          <t>0,0033 do valor de um veículo novo completo tipo convencional</t>
        </r>
      </text>
    </comment>
    <comment ref="F40" authorId="0">
      <text>
        <r>
          <rPr>
            <b/>
            <sz val="9"/>
            <rFont val="Tahoma"/>
            <family val="2"/>
          </rPr>
          <t>0,0033 do valor de um veículo novo completo tipo convencional</t>
        </r>
      </text>
    </comment>
    <comment ref="I40" authorId="0">
      <text>
        <r>
          <rPr>
            <b/>
            <sz val="9"/>
            <rFont val="Tahoma"/>
            <family val="2"/>
          </rPr>
          <t>0,0033 do valor de um veículo novo completo tipo convencional</t>
        </r>
      </text>
    </comment>
    <comment ref="D40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G40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J40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C41" authorId="0">
      <text>
        <r>
          <rPr>
            <b/>
            <sz val="9"/>
            <rFont val="Tahoma"/>
            <family val="2"/>
          </rPr>
          <t>0,3778 do salário de motorista</t>
        </r>
      </text>
    </comment>
    <comment ref="F41" authorId="0">
      <text>
        <r>
          <rPr>
            <b/>
            <sz val="9"/>
            <rFont val="Tahoma"/>
            <family val="2"/>
          </rPr>
          <t>0,3778 do salário de motorista pleno</t>
        </r>
      </text>
    </comment>
    <comment ref="I41" authorId="0">
      <text>
        <r>
          <rPr>
            <b/>
            <sz val="9"/>
            <rFont val="Tahoma"/>
            <family val="2"/>
          </rPr>
          <t>0,3778 do salário de motorista pleno</t>
        </r>
      </text>
    </comment>
    <comment ref="D41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G41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J41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C46" authorId="0">
      <text>
        <r>
          <rPr>
            <b/>
            <sz val="9"/>
            <rFont val="Tahoma"/>
            <family val="2"/>
          </rPr>
          <t>10 anos = 120 meses</t>
        </r>
      </text>
    </comment>
    <comment ref="F46" authorId="0">
      <text>
        <r>
          <rPr>
            <b/>
            <sz val="9"/>
            <rFont val="Tahoma"/>
            <family val="2"/>
          </rPr>
          <t>10 anos = 120 meses</t>
        </r>
      </text>
    </comment>
    <comment ref="I46" authorId="0">
      <text>
        <r>
          <rPr>
            <b/>
            <sz val="9"/>
            <rFont val="Tahoma"/>
            <family val="2"/>
          </rPr>
          <t>10 anos = 120 meses</t>
        </r>
      </text>
    </comment>
    <comment ref="D47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G47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J47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D49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D50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G49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G50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J49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J50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D46" authorId="0">
      <text>
        <r>
          <rPr>
            <b/>
            <sz val="9"/>
            <rFont val="Tahoma"/>
            <family val="2"/>
          </rPr>
          <t>Preço de um veículo MIDI novo s/pneu</t>
        </r>
      </text>
    </comment>
    <comment ref="G46" authorId="0">
      <text>
        <r>
          <rPr>
            <b/>
            <sz val="9"/>
            <rFont val="Tahoma"/>
            <family val="2"/>
          </rPr>
          <t>Preço de um veículo Convencional novo s/pneu</t>
        </r>
      </text>
    </comment>
    <comment ref="J46" authorId="0">
      <text>
        <r>
          <rPr>
            <b/>
            <sz val="9"/>
            <rFont val="Tahoma"/>
            <family val="2"/>
          </rPr>
          <t>Preço de um veículo Articulado novo s/pneu</t>
        </r>
      </text>
    </comment>
    <comment ref="D48" authorId="0">
      <text>
        <r>
          <rPr>
            <b/>
            <sz val="9"/>
            <rFont val="Tahoma"/>
            <family val="2"/>
          </rPr>
          <t>Preço de um veículo MIDI novo s/pneu</t>
        </r>
      </text>
    </comment>
    <comment ref="G48" authorId="0">
      <text>
        <r>
          <rPr>
            <b/>
            <sz val="9"/>
            <rFont val="Tahoma"/>
            <family val="2"/>
          </rPr>
          <t>Preço de um veículo Convencional novo s/pneu</t>
        </r>
      </text>
    </comment>
    <comment ref="J48" authorId="0">
      <text>
        <r>
          <rPr>
            <b/>
            <sz val="9"/>
            <rFont val="Tahoma"/>
            <family val="2"/>
          </rPr>
          <t>Preço de um veículo Articulado novo s/pneu</t>
        </r>
      </text>
    </comment>
    <comment ref="C49" authorId="0">
      <text>
        <r>
          <rPr>
            <b/>
            <sz val="9"/>
            <rFont val="Tahoma"/>
            <family val="2"/>
          </rPr>
          <t>0,0004 do valor de um veículo novo completo tipo convencional</t>
        </r>
      </text>
    </comment>
    <comment ref="F49" authorId="0">
      <text>
        <r>
          <rPr>
            <b/>
            <sz val="9"/>
            <rFont val="Tahoma"/>
            <family val="2"/>
          </rPr>
          <t>0,0004 do valor de um veículo novo completo tipo convencional</t>
        </r>
      </text>
    </comment>
    <comment ref="I49" authorId="0">
      <text>
        <r>
          <rPr>
            <b/>
            <sz val="9"/>
            <rFont val="Tahoma"/>
            <family val="2"/>
          </rPr>
          <t>0,0004 do valor de um veículo novo completo tipo convencional</t>
        </r>
      </text>
    </comment>
    <comment ref="C50" authorId="0">
      <text>
        <r>
          <rPr>
            <b/>
            <sz val="9"/>
            <rFont val="Tahoma"/>
            <family val="2"/>
          </rPr>
          <t>0,0003 do valor de um veículo novo completo tipo convencional</t>
        </r>
      </text>
    </comment>
    <comment ref="F50" authorId="0">
      <text>
        <r>
          <rPr>
            <b/>
            <sz val="9"/>
            <rFont val="Tahoma"/>
            <family val="2"/>
          </rPr>
          <t>0,0003 do valor de um veículo novo completo tipo convencional</t>
        </r>
      </text>
    </comment>
    <comment ref="I50" authorId="0">
      <text>
        <r>
          <rPr>
            <b/>
            <sz val="9"/>
            <rFont val="Tahoma"/>
            <family val="2"/>
          </rPr>
          <t>0,0003 do valor de um veículo novo completo tipo convencional</t>
        </r>
      </text>
    </comment>
    <comment ref="C47" authorId="0">
      <text>
        <r>
          <rPr>
            <b/>
            <sz val="9"/>
            <rFont val="Tahoma"/>
            <family val="2"/>
          </rPr>
          <t>0,0001 do valor de um veículo novo completo tipo convencional</t>
        </r>
      </text>
    </comment>
    <comment ref="F47" authorId="0">
      <text>
        <r>
          <rPr>
            <b/>
            <sz val="9"/>
            <rFont val="Tahoma"/>
            <family val="2"/>
          </rPr>
          <t>0,0001 do valor de um veículo novo completo tipo convencional</t>
        </r>
      </text>
    </comment>
    <comment ref="I47" authorId="0">
      <text>
        <r>
          <rPr>
            <b/>
            <sz val="9"/>
            <rFont val="Tahoma"/>
            <family val="2"/>
          </rPr>
          <t>0,0001 do valor de um veículo novo completo tipo convencional</t>
        </r>
      </text>
    </comment>
    <comment ref="C48" authorId="0">
      <text>
        <r>
          <rPr>
            <b/>
            <sz val="9"/>
            <rFont val="Tahoma"/>
            <family val="2"/>
          </rPr>
          <t>taxa mensal de 1% sobre o valor de veículo novo da categoria s/pneu deduzindo a parcela já depreciada</t>
        </r>
      </text>
    </comment>
    <comment ref="F48" authorId="0">
      <text>
        <r>
          <rPr>
            <b/>
            <sz val="9"/>
            <rFont val="Tahoma"/>
            <family val="2"/>
          </rPr>
          <t>taxa mensal de 1% sobre o valor de veículo novo da categoria s/pneu deduzindo a parcela já depreciada</t>
        </r>
      </text>
    </comment>
    <comment ref="I48" authorId="0">
      <text>
        <r>
          <rPr>
            <b/>
            <sz val="9"/>
            <rFont val="Tahoma"/>
            <family val="2"/>
          </rPr>
          <t>taxa mensal de 1% sobre o valor de veículo novo da categoria s/pneu deduzindo a parcela já depreciada</t>
        </r>
      </text>
    </comment>
    <comment ref="L54" authorId="0">
      <text>
        <r>
          <rPr>
            <b/>
            <sz val="9"/>
            <rFont val="Tahoma"/>
            <family val="2"/>
          </rPr>
          <t>margem operador 5%</t>
        </r>
      </text>
    </comment>
    <comment ref="L58" authorId="0">
      <text>
        <r>
          <rPr>
            <b/>
            <sz val="9"/>
            <rFont val="Tahoma"/>
            <family val="2"/>
          </rPr>
          <t>número de passageiros / número de km</t>
        </r>
      </text>
    </comment>
    <comment ref="L14" authorId="0">
      <text>
        <r>
          <rPr>
            <b/>
            <sz val="9"/>
            <rFont val="Tahoma"/>
            <family val="2"/>
          </rPr>
          <t>Demanda média equivalente</t>
        </r>
      </text>
    </comment>
    <comment ref="G23" authorId="0">
      <text>
        <r>
          <rPr>
            <b/>
            <sz val="9"/>
            <rFont val="Tahoma"/>
            <family val="2"/>
          </rPr>
          <t>Custo do óleo diesel da categoria por km</t>
        </r>
      </text>
    </comment>
    <comment ref="J23" authorId="0">
      <text>
        <r>
          <rPr>
            <b/>
            <sz val="9"/>
            <rFont val="Tahoma"/>
            <family val="2"/>
          </rPr>
          <t>Custo do óleo diesel da categoria por km</t>
        </r>
      </text>
    </comment>
    <comment ref="C36" authorId="0">
      <text>
        <r>
          <rPr>
            <b/>
            <sz val="9"/>
            <rFont val="Tahoma"/>
            <family val="2"/>
          </rPr>
          <t>Fator utilização concessionária</t>
        </r>
      </text>
    </comment>
    <comment ref="F35" authorId="0">
      <text>
        <r>
          <rPr>
            <b/>
            <sz val="9"/>
            <rFont val="Tahoma"/>
            <family val="2"/>
          </rPr>
          <t>Fator utilização concessionária</t>
        </r>
      </text>
    </comment>
    <comment ref="I35" authorId="0">
      <text>
        <r>
          <rPr>
            <b/>
            <sz val="9"/>
            <rFont val="Tahoma"/>
            <family val="2"/>
          </rPr>
          <t>Fator utilização concessionária</t>
        </r>
      </text>
    </comment>
  </commentList>
</comments>
</file>

<file path=xl/sharedStrings.xml><?xml version="1.0" encoding="utf-8"?>
<sst xmlns="http://schemas.openxmlformats.org/spreadsheetml/2006/main" count="258" uniqueCount="156">
  <si>
    <t>Lubrificantes</t>
  </si>
  <si>
    <t>Frota Operante</t>
  </si>
  <si>
    <t>% TOTAL</t>
  </si>
  <si>
    <t>Peças e Acessórios</t>
  </si>
  <si>
    <t>- Motoristas</t>
  </si>
  <si>
    <t>- Cobradores</t>
  </si>
  <si>
    <t>Pessoal Manutenção</t>
  </si>
  <si>
    <t>Uniformes</t>
  </si>
  <si>
    <t>Despesas c/Terminais</t>
  </si>
  <si>
    <t>Custo com Tributos</t>
  </si>
  <si>
    <t>Despesas Gerais</t>
  </si>
  <si>
    <t>Remuneração Diretoria</t>
  </si>
  <si>
    <t>Pessoal Administrativo</t>
  </si>
  <si>
    <t>Total horas DU</t>
  </si>
  <si>
    <t>Total horas SAB</t>
  </si>
  <si>
    <t>Total horas DOM</t>
  </si>
  <si>
    <t>Tripulação DU</t>
  </si>
  <si>
    <t>Tripulação SAB</t>
  </si>
  <si>
    <t>Tripulação Dom</t>
  </si>
  <si>
    <t>Tripulação Semanal</t>
  </si>
  <si>
    <t>Tripulação Estimada</t>
  </si>
  <si>
    <t>Total Geral</t>
  </si>
  <si>
    <t>TOTAL</t>
  </si>
  <si>
    <t>MÉDIA MENSAL</t>
  </si>
  <si>
    <t>INDICES OPERACIONAIS</t>
  </si>
  <si>
    <t>MICRO</t>
  </si>
  <si>
    <t>ARTICULADO</t>
  </si>
  <si>
    <t>SISTEMA</t>
  </si>
  <si>
    <t>COMPONENTES</t>
  </si>
  <si>
    <t>DIAS ÚTEIS</t>
  </si>
  <si>
    <t>SÁBADOS</t>
  </si>
  <si>
    <t>DOMINGOS</t>
  </si>
  <si>
    <t>MIDI</t>
  </si>
  <si>
    <t>CONVENC</t>
  </si>
  <si>
    <t>TOTAL MÉDIO MENSAL</t>
  </si>
  <si>
    <t>Média mensal</t>
  </si>
  <si>
    <t>CHASSI</t>
  </si>
  <si>
    <t>TOTAL VEÍCULO</t>
  </si>
  <si>
    <t>CUSTO PNEUS</t>
  </si>
  <si>
    <t>VEÍCULO S/PNEUS</t>
  </si>
  <si>
    <t>CONVENCIONAL</t>
  </si>
  <si>
    <t>ANO</t>
  </si>
  <si>
    <t>TOTAL FROTA</t>
  </si>
  <si>
    <t>IDADE MÉDIA</t>
  </si>
  <si>
    <t>Vale Alimentação</t>
  </si>
  <si>
    <t>MÊS</t>
  </si>
  <si>
    <t>MOTORISTAS</t>
  </si>
  <si>
    <t>COBRADORES</t>
  </si>
  <si>
    <t>FATOR DE UTILIZAÇÃO</t>
  </si>
  <si>
    <t>Domingos (folgas)</t>
  </si>
  <si>
    <t>Tripulação Total</t>
  </si>
  <si>
    <t>+ Feristas</t>
  </si>
  <si>
    <t>+ Quebra de Escala</t>
  </si>
  <si>
    <t>+ Plantão/Reserva</t>
  </si>
  <si>
    <t>Frota operante</t>
  </si>
  <si>
    <t>- Pneu 275/80</t>
  </si>
  <si>
    <t>- Pneu 295/80</t>
  </si>
  <si>
    <t>- Recapagem 275/80</t>
  </si>
  <si>
    <t>- Recapagem 295/80</t>
  </si>
  <si>
    <t>- Supervisão</t>
  </si>
  <si>
    <t>ISS</t>
  </si>
  <si>
    <t>INSS</t>
  </si>
  <si>
    <t>IPK</t>
  </si>
  <si>
    <t>FROTA OPERANTE</t>
  </si>
  <si>
    <t>KM MENSAL PROGRAMADA</t>
  </si>
  <si>
    <t>PMM FROTA OPERANTE</t>
  </si>
  <si>
    <t>DEMANDA EQUIVALENTE</t>
  </si>
  <si>
    <t>CUSTO PONDERADO</t>
  </si>
  <si>
    <t>PARÂMETROS</t>
  </si>
  <si>
    <t>PREÇOS</t>
  </si>
  <si>
    <t>CUSTO/KM</t>
  </si>
  <si>
    <t>R$/KM</t>
  </si>
  <si>
    <t>Seguros (Obrigat + Terceiros)</t>
  </si>
  <si>
    <t>A) CUSTOS VARIÁVEIS</t>
  </si>
  <si>
    <t>B) CUSTOS FIXOS</t>
  </si>
  <si>
    <t>Depreciação Maq, Inst e Equip</t>
  </si>
  <si>
    <t>Depreciação Veículos</t>
  </si>
  <si>
    <t>Remuneração Veículos</t>
  </si>
  <si>
    <t>Remuneração Maq, Inst e Equip</t>
  </si>
  <si>
    <t>Remuneração Almoxarifado</t>
  </si>
  <si>
    <t>CUSTOS DA OPERAÇÃO (C+D)</t>
  </si>
  <si>
    <t>C) CUSTO OPERACIONAL (A+B)</t>
  </si>
  <si>
    <t>D) CUSTO DE CAPITAL</t>
  </si>
  <si>
    <t>Margem do Operador (5%)</t>
  </si>
  <si>
    <t>TARIFA MÉDIA RESULTANTE</t>
  </si>
  <si>
    <t>MOTORISTA PLENO</t>
  </si>
  <si>
    <t>SEGUROS</t>
  </si>
  <si>
    <t>CARROS SEGURADOS</t>
  </si>
  <si>
    <t>VALOR A CONSIDERAR</t>
  </si>
  <si>
    <t>PNEUS E RECAPAGENS</t>
  </si>
  <si>
    <t>PNEU 275/80 (Midi e Conv)</t>
  </si>
  <si>
    <t>PNEU 295/80 (Articulado)</t>
  </si>
  <si>
    <t>RECAPAGEM 275/80</t>
  </si>
  <si>
    <t>RECAPAGEM 295/80</t>
  </si>
  <si>
    <t>DESPESAS COM TERMINAIS</t>
  </si>
  <si>
    <t>TERMINAL CENTRAL</t>
  </si>
  <si>
    <t>PIS/COFINS</t>
  </si>
  <si>
    <t>CUSTO TOTAL COM TRIBUTOS</t>
  </si>
  <si>
    <t>ENCARGOS SOCIAIS</t>
  </si>
  <si>
    <t>VALOR LANÇADO NO CÁLCULO</t>
  </si>
  <si>
    <t>TERMINAL UVARANAS</t>
  </si>
  <si>
    <t>TERMINAL OFICINAS</t>
  </si>
  <si>
    <t>TERMINAL NOVA RÚSSIA</t>
  </si>
  <si>
    <t>DPVAT POR VEÍCULO</t>
  </si>
  <si>
    <t>SEGURO CONTRA TERCEIROS</t>
  </si>
  <si>
    <t xml:space="preserve"> </t>
  </si>
  <si>
    <t>CUSTO POR LITRO COM ICMS</t>
  </si>
  <si>
    <t xml:space="preserve">COMPOSIÇÃO DO CUSTO DO DIESEL S10 </t>
  </si>
  <si>
    <t xml:space="preserve">ARLA 32 </t>
  </si>
  <si>
    <t>KM MENSAL S500</t>
  </si>
  <si>
    <t>KM MENSAL S10</t>
  </si>
  <si>
    <t>S10</t>
  </si>
  <si>
    <t>S500</t>
  </si>
  <si>
    <t>COMUM</t>
  </si>
  <si>
    <t>MID BUS</t>
  </si>
  <si>
    <t>Combustível S500</t>
  </si>
  <si>
    <t>Combustível S10</t>
  </si>
  <si>
    <t>Arla</t>
  </si>
  <si>
    <t>ADEQUAÇÕES BANHEIROS</t>
  </si>
  <si>
    <t>TIPO</t>
  </si>
  <si>
    <t>Total</t>
  </si>
  <si>
    <t>Frota Reserv.</t>
  </si>
  <si>
    <t>CUSTO POR LITRO SEM ICMS</t>
  </si>
  <si>
    <t>CUSTO POR LITRO com ICMS</t>
  </si>
  <si>
    <t>FROTA OPERANTE E FROTA RESERVA</t>
  </si>
  <si>
    <t>FROTA POR TIPO DE COMBUSTIVEL</t>
  </si>
  <si>
    <t>CARROCERIA</t>
  </si>
  <si>
    <t>,</t>
  </si>
  <si>
    <t>Total de funcionarios</t>
  </si>
  <si>
    <t>SMIP -  PLANILHA DE  CUSTOS  DO SISTEMA DE TRANSPORTE PÚBLICO DE PONTA GROSSA  - Mensal/2023</t>
  </si>
  <si>
    <t>*veiculos não considerados</t>
  </si>
  <si>
    <t>PMM FROTA TOTAL (até 10 anos)</t>
  </si>
  <si>
    <t>FROTA TOTAL (até 10 anos)</t>
  </si>
  <si>
    <t>PMM TOTAL</t>
  </si>
  <si>
    <t>ok</t>
  </si>
  <si>
    <t>anual</t>
  </si>
  <si>
    <t>PREÇOS MÉDIOS (conforme modelo de chassi e carroceria)-maio/2023 -102.5</t>
  </si>
  <si>
    <t xml:space="preserve">FROTA TOTAL  </t>
  </si>
  <si>
    <t xml:space="preserve">PASSAGEIROS EQUIVALENTES </t>
  </si>
  <si>
    <t>Custo KM</t>
  </si>
  <si>
    <t xml:space="preserve">% </t>
  </si>
  <si>
    <t>R$/tarifa</t>
  </si>
  <si>
    <t>Remuneração Mês</t>
  </si>
  <si>
    <t>Remuneração Ano</t>
  </si>
  <si>
    <t>Combustível s10</t>
  </si>
  <si>
    <t>Subtotal A)</t>
  </si>
  <si>
    <t>Subtotal B)</t>
  </si>
  <si>
    <t>Subtotal D)</t>
  </si>
  <si>
    <t>Custo km poderado</t>
  </si>
  <si>
    <t>ITEM</t>
  </si>
  <si>
    <t>dezembro - 2023</t>
  </si>
  <si>
    <t>SALÁRIOS DATA BASE 2024</t>
  </si>
  <si>
    <t>Quilometragem Diária Considerada - janeiro -  versao 107.5</t>
  </si>
  <si>
    <t>FATORES DE UTILIZAÇÃO DE MOTORISTAS E COBRADORES 2024 - versao 107.5</t>
  </si>
  <si>
    <t>VALE ALIMENTAÇÃO DATA BASE/2024</t>
  </si>
  <si>
    <t>DISTRIBUIÇÃO DE FROTA</t>
  </si>
</sst>
</file>

<file path=xl/styles.xml><?xml version="1.0" encoding="utf-8"?>
<styleSheet xmlns="http://schemas.openxmlformats.org/spreadsheetml/2006/main">
  <numFmts count="7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Cr$&quot;* #,##0_);_(&quot;Cr$&quot;* \(#,##0\);_(&quot;Cr$&quot;* &quot;-&quot;_);_(@_)"/>
    <numFmt numFmtId="167" formatCode="_(&quot;Cr$&quot;* #,##0.00_);_(&quot;Cr$&quot;* \(#,##0.00\);_(&quot;Cr$&quot;* &quot;-&quot;??_);_(@_)"/>
    <numFmt numFmtId="168" formatCode="#,##0.0000_);\(#,##0.0000\)"/>
    <numFmt numFmtId="169" formatCode="_(* #,##0_);_(* \(#,##0\);_(* &quot;-&quot;??_);_(@_)"/>
    <numFmt numFmtId="170" formatCode="0.0000"/>
    <numFmt numFmtId="171" formatCode="_(* #,##0.0000_);_(* \(#,##0.0000\);_(* &quot;-&quot;??_);_(@_)"/>
    <numFmt numFmtId="172" formatCode="_(* #,##0.00000_);_(* \(#,##0.00000\);_(* &quot;-&quot;??_);_(@_)"/>
    <numFmt numFmtId="173" formatCode="[h]:mm:ss;@"/>
    <numFmt numFmtId="174" formatCode="#,##0.00000_);\(#,##0.00000\)"/>
    <numFmt numFmtId="175" formatCode="_(* #,##0.0000000_);_(* \(#,##0.0000000\);_(* &quot;-&quot;??_);_(@_)"/>
    <numFmt numFmtId="176" formatCode="#,##0.0000;\-#,##0.0000"/>
    <numFmt numFmtId="177" formatCode="#,##0.0000"/>
    <numFmt numFmtId="178" formatCode="_-[$R$-416]\ * #,##0.00_-;\-[$R$-416]\ * #,##0.00_-;_-[$R$-416]\ * &quot;-&quot;??_-;_-@_-"/>
    <numFmt numFmtId="179" formatCode="0.000%"/>
    <numFmt numFmtId="180" formatCode="0.0000%"/>
    <numFmt numFmtId="181" formatCode="[$-416]mmm\-yy;@"/>
    <numFmt numFmtId="182" formatCode="#,##0.000;\-#,##0.000"/>
    <numFmt numFmtId="183" formatCode="#,##0.0000_ ;\-#,##0.0000\ "/>
    <numFmt numFmtId="184" formatCode="_-* #,##0_-;\-* #,##0_-;_-* &quot;-&quot;??_-;_-@_-"/>
    <numFmt numFmtId="185" formatCode="_-* #,##0.0000_-;\-* #,##0.0000_-;_-* &quot;-&quot;????_-;_-@_-"/>
    <numFmt numFmtId="186" formatCode="#,##0.00_ ;\-#,##0.00\ "/>
    <numFmt numFmtId="187" formatCode="#,##0.0;\-#,##0.0"/>
    <numFmt numFmtId="188" formatCode="&quot;Sim&quot;;&quot;Sim&quot;;&quot;Não&quot;"/>
    <numFmt numFmtId="189" formatCode="&quot;Verdadeiro&quot;;&quot;Verdadeiro&quot;;&quot;Falso&quot;"/>
    <numFmt numFmtId="190" formatCode="&quot;Ativado&quot;;&quot;Ativado&quot;;&quot;Desativado&quot;"/>
    <numFmt numFmtId="191" formatCode="[$€-2]\ #,##0.00_);[Red]\([$€-2]\ #,##0.00\)"/>
    <numFmt numFmtId="192" formatCode="0.0%"/>
    <numFmt numFmtId="193" formatCode="[$-416]dddd\,\ d&quot; de &quot;mmmm&quot; de &quot;yyyy"/>
    <numFmt numFmtId="194" formatCode="mmm/yyyy"/>
    <numFmt numFmtId="195" formatCode="#,##0_ ;\-#,##0\ "/>
    <numFmt numFmtId="196" formatCode="[$-416]d\-mmm;@"/>
    <numFmt numFmtId="197" formatCode="_(* #,##0.000_);_(* \(#,##0.000\);_(* &quot;-&quot;??_);_(@_)"/>
    <numFmt numFmtId="198" formatCode="_(* #,##0.0_);_(* \(#,##0.0\);_(* &quot;-&quot;??_);_(@_)"/>
    <numFmt numFmtId="199" formatCode="0_ ;\-0\ "/>
    <numFmt numFmtId="200" formatCode="#,##0_);\(#,##0\)"/>
    <numFmt numFmtId="201" formatCode="#,##0.000"/>
    <numFmt numFmtId="202" formatCode="#,##0.0"/>
    <numFmt numFmtId="203" formatCode="_(* #,##0.000000_);_(* \(#,##0.000000\);_(* &quot;-&quot;??_);_(@_)"/>
    <numFmt numFmtId="204" formatCode="#,##0.00000"/>
    <numFmt numFmtId="205" formatCode="_-* #,##0.000000_-;\-* #,##0.000000_-;_-* &quot;-&quot;??????_-;_-@_-"/>
    <numFmt numFmtId="206" formatCode="_-[$R$-416]\ * #,##0.000_-;\-[$R$-416]\ * #,##0.000_-;_-[$R$-416]\ * &quot;-&quot;??_-;_-@_-"/>
    <numFmt numFmtId="207" formatCode="_-[$R$-416]\ * #,##0.0000_-;\-[$R$-416]\ * #,##0.0000_-;_-[$R$-416]\ * &quot;-&quot;??_-;_-@_-"/>
    <numFmt numFmtId="208" formatCode="_-[$R$-416]\ * #,##0.0000_-;\-[$R$-416]\ * #,##0.0000_-;_-[$R$-416]\ * &quot;-&quot;????_-;_-@_-"/>
    <numFmt numFmtId="209" formatCode="_-[$R$-416]\ * #,##0.0_-;\-[$R$-416]\ * #,##0.0_-;_-[$R$-416]\ * &quot;-&quot;??_-;_-@_-"/>
    <numFmt numFmtId="210" formatCode="_-[$R$-416]\ * #,##0_-;\-[$R$-416]\ * #,##0_-;_-[$R$-416]\ * &quot;-&quot;??_-;_-@_-"/>
    <numFmt numFmtId="211" formatCode="0.0"/>
    <numFmt numFmtId="212" formatCode="_-* #,##0.00000_-;\-* #,##0.00000_-;_-* &quot;-&quot;?????_-;_-@_-"/>
    <numFmt numFmtId="213" formatCode="#,##0.000_);\(#,##0.000\)"/>
    <numFmt numFmtId="214" formatCode="#,##0.00_);\(#,##0.00\)"/>
    <numFmt numFmtId="215" formatCode="#,##0.000000_);\(#,##0.000000\)"/>
    <numFmt numFmtId="216" formatCode="#,##0.00000;\-#,##0.00000"/>
    <numFmt numFmtId="217" formatCode="#,##0.000000;\-#,##0.000000"/>
    <numFmt numFmtId="218" formatCode="#,##0.0000000;\-#,##0.0000000"/>
    <numFmt numFmtId="219" formatCode="#,##0.00000000;\-#,##0.00000000"/>
    <numFmt numFmtId="220" formatCode="#,##0.000000000;\-#,##0.000000000"/>
    <numFmt numFmtId="221" formatCode="#,##0.0000000000;\-#,##0.0000000000"/>
    <numFmt numFmtId="222" formatCode="#,##0.00000000000;\-#,##0.00000000000"/>
    <numFmt numFmtId="223" formatCode="#,##0.000000000000;\-#,##0.000000000000"/>
    <numFmt numFmtId="224" formatCode="#,##0.0000000000000;\-#,##0.0000000000000"/>
    <numFmt numFmtId="225" formatCode="#,##0.00000000000000;\-#,##0.00000000000000"/>
  </numFmts>
  <fonts count="86">
    <font>
      <sz val="10"/>
      <name val="Courier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b/>
      <sz val="8"/>
      <color indexed="10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9"/>
      <name val="Calibri"/>
      <family val="2"/>
    </font>
    <font>
      <b/>
      <sz val="9"/>
      <name val="Tahoma"/>
      <family val="2"/>
    </font>
    <font>
      <b/>
      <sz val="10"/>
      <name val="Courier"/>
      <family val="3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4"/>
      <name val="Calibri"/>
      <family val="2"/>
    </font>
    <font>
      <i/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0"/>
      <color indexed="8"/>
      <name val="Courier"/>
      <family val="3"/>
    </font>
    <font>
      <sz val="14"/>
      <color indexed="10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ourier"/>
      <family val="3"/>
    </font>
    <font>
      <sz val="9"/>
      <color indexed="10"/>
      <name val="Calibri"/>
      <family val="2"/>
    </font>
    <font>
      <sz val="10"/>
      <color indexed="10"/>
      <name val="Courier"/>
      <family val="0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1"/>
      <name val="Courier"/>
      <family val="3"/>
    </font>
    <font>
      <sz val="9"/>
      <color rgb="FFFF0000"/>
      <name val="Calibri"/>
      <family val="2"/>
    </font>
    <font>
      <sz val="10"/>
      <color rgb="FFFF0000"/>
      <name val="Courier"/>
      <family val="0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8"/>
      <name val="Courier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 style="hair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medium"/>
      <right style="hair"/>
      <top style="thin"/>
      <bottom style="thin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dotted"/>
      <bottom style="hair"/>
    </border>
    <border>
      <left style="hair"/>
      <right style="medium"/>
      <top style="thin"/>
      <bottom style="thin"/>
    </border>
    <border>
      <left style="dotted"/>
      <right style="medium"/>
      <top>
        <color indexed="63"/>
      </top>
      <bottom style="dotted"/>
    </border>
    <border>
      <left style="dotted"/>
      <right style="medium"/>
      <top style="dotted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tted"/>
      <bottom style="dotted"/>
    </border>
    <border>
      <left style="medium"/>
      <right style="medium"/>
      <top style="hair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medium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</borders>
  <cellStyleXfs count="10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63" fillId="3" borderId="0" applyNumberFormat="0" applyBorder="0" applyAlignment="0" applyProtection="0"/>
    <xf numFmtId="0" fontId="14" fillId="4" borderId="0" applyNumberFormat="0" applyBorder="0" applyAlignment="0" applyProtection="0"/>
    <xf numFmtId="0" fontId="63" fillId="5" borderId="0" applyNumberFormat="0" applyBorder="0" applyAlignment="0" applyProtection="0"/>
    <xf numFmtId="0" fontId="14" fillId="6" borderId="0" applyNumberFormat="0" applyBorder="0" applyAlignment="0" applyProtection="0"/>
    <xf numFmtId="0" fontId="63" fillId="7" borderId="0" applyNumberFormat="0" applyBorder="0" applyAlignment="0" applyProtection="0"/>
    <xf numFmtId="0" fontId="14" fillId="8" borderId="0" applyNumberFormat="0" applyBorder="0" applyAlignment="0" applyProtection="0"/>
    <xf numFmtId="0" fontId="63" fillId="9" borderId="0" applyNumberFormat="0" applyBorder="0" applyAlignment="0" applyProtection="0"/>
    <xf numFmtId="0" fontId="14" fillId="10" borderId="0" applyNumberFormat="0" applyBorder="0" applyAlignment="0" applyProtection="0"/>
    <xf numFmtId="0" fontId="63" fillId="11" borderId="0" applyNumberFormat="0" applyBorder="0" applyAlignment="0" applyProtection="0"/>
    <xf numFmtId="0" fontId="14" fillId="6" borderId="0" applyNumberFormat="0" applyBorder="0" applyAlignment="0" applyProtection="0"/>
    <xf numFmtId="0" fontId="63" fillId="12" borderId="0" applyNumberFormat="0" applyBorder="0" applyAlignment="0" applyProtection="0"/>
    <xf numFmtId="0" fontId="14" fillId="10" borderId="0" applyNumberFormat="0" applyBorder="0" applyAlignment="0" applyProtection="0"/>
    <xf numFmtId="0" fontId="63" fillId="13" borderId="0" applyNumberFormat="0" applyBorder="0" applyAlignment="0" applyProtection="0"/>
    <xf numFmtId="0" fontId="14" fillId="4" borderId="0" applyNumberFormat="0" applyBorder="0" applyAlignment="0" applyProtection="0"/>
    <xf numFmtId="0" fontId="63" fillId="14" borderId="0" applyNumberFormat="0" applyBorder="0" applyAlignment="0" applyProtection="0"/>
    <xf numFmtId="0" fontId="14" fillId="15" borderId="0" applyNumberFormat="0" applyBorder="0" applyAlignment="0" applyProtection="0"/>
    <xf numFmtId="0" fontId="63" fillId="16" borderId="0" applyNumberFormat="0" applyBorder="0" applyAlignment="0" applyProtection="0"/>
    <xf numFmtId="0" fontId="14" fillId="17" borderId="0" applyNumberFormat="0" applyBorder="0" applyAlignment="0" applyProtection="0"/>
    <xf numFmtId="0" fontId="63" fillId="18" borderId="0" applyNumberFormat="0" applyBorder="0" applyAlignment="0" applyProtection="0"/>
    <xf numFmtId="0" fontId="14" fillId="10" borderId="0" applyNumberFormat="0" applyBorder="0" applyAlignment="0" applyProtection="0"/>
    <xf numFmtId="0" fontId="63" fillId="19" borderId="0" applyNumberFormat="0" applyBorder="0" applyAlignment="0" applyProtection="0"/>
    <xf numFmtId="0" fontId="14" fillId="6" borderId="0" applyNumberFormat="0" applyBorder="0" applyAlignment="0" applyProtection="0"/>
    <xf numFmtId="0" fontId="63" fillId="20" borderId="0" applyNumberFormat="0" applyBorder="0" applyAlignment="0" applyProtection="0"/>
    <xf numFmtId="0" fontId="15" fillId="10" borderId="0" applyNumberFormat="0" applyBorder="0" applyAlignment="0" applyProtection="0"/>
    <xf numFmtId="0" fontId="64" fillId="21" borderId="0" applyNumberFormat="0" applyBorder="0" applyAlignment="0" applyProtection="0"/>
    <xf numFmtId="0" fontId="15" fillId="22" borderId="0" applyNumberFormat="0" applyBorder="0" applyAlignment="0" applyProtection="0"/>
    <xf numFmtId="0" fontId="64" fillId="23" borderId="0" applyNumberFormat="0" applyBorder="0" applyAlignment="0" applyProtection="0"/>
    <xf numFmtId="0" fontId="15" fillId="24" borderId="0" applyNumberFormat="0" applyBorder="0" applyAlignment="0" applyProtection="0"/>
    <xf numFmtId="0" fontId="64" fillId="25" borderId="0" applyNumberFormat="0" applyBorder="0" applyAlignment="0" applyProtection="0"/>
    <xf numFmtId="0" fontId="15" fillId="17" borderId="0" applyNumberFormat="0" applyBorder="0" applyAlignment="0" applyProtection="0"/>
    <xf numFmtId="0" fontId="64" fillId="26" borderId="0" applyNumberFormat="0" applyBorder="0" applyAlignment="0" applyProtection="0"/>
    <xf numFmtId="0" fontId="15" fillId="10" borderId="0" applyNumberFormat="0" applyBorder="0" applyAlignment="0" applyProtection="0"/>
    <xf numFmtId="0" fontId="64" fillId="27" borderId="0" applyNumberFormat="0" applyBorder="0" applyAlignment="0" applyProtection="0"/>
    <xf numFmtId="0" fontId="15" fillId="4" borderId="0" applyNumberFormat="0" applyBorder="0" applyAlignment="0" applyProtection="0"/>
    <xf numFmtId="0" fontId="64" fillId="28" borderId="0" applyNumberFormat="0" applyBorder="0" applyAlignment="0" applyProtection="0"/>
    <xf numFmtId="0" fontId="16" fillId="10" borderId="0" applyNumberFormat="0" applyBorder="0" applyAlignment="0" applyProtection="0"/>
    <xf numFmtId="0" fontId="65" fillId="29" borderId="0" applyNumberFormat="0" applyBorder="0" applyAlignment="0" applyProtection="0"/>
    <xf numFmtId="0" fontId="17" fillId="30" borderId="1" applyNumberFormat="0" applyAlignment="0" applyProtection="0"/>
    <xf numFmtId="0" fontId="66" fillId="31" borderId="2" applyNumberFormat="0" applyAlignment="0" applyProtection="0"/>
    <xf numFmtId="0" fontId="18" fillId="32" borderId="3" applyNumberFormat="0" applyAlignment="0" applyProtection="0"/>
    <xf numFmtId="0" fontId="67" fillId="33" borderId="4" applyNumberFormat="0" applyAlignment="0" applyProtection="0"/>
    <xf numFmtId="0" fontId="19" fillId="0" borderId="5" applyNumberFormat="0" applyFill="0" applyAlignment="0" applyProtection="0"/>
    <xf numFmtId="0" fontId="68" fillId="0" borderId="6" applyNumberFormat="0" applyFill="0" applyAlignment="0" applyProtection="0"/>
    <xf numFmtId="0" fontId="15" fillId="34" borderId="0" applyNumberFormat="0" applyBorder="0" applyAlignment="0" applyProtection="0"/>
    <xf numFmtId="0" fontId="64" fillId="35" borderId="0" applyNumberFormat="0" applyBorder="0" applyAlignment="0" applyProtection="0"/>
    <xf numFmtId="0" fontId="15" fillId="22" borderId="0" applyNumberFormat="0" applyBorder="0" applyAlignment="0" applyProtection="0"/>
    <xf numFmtId="0" fontId="64" fillId="36" borderId="0" applyNumberFormat="0" applyBorder="0" applyAlignment="0" applyProtection="0"/>
    <xf numFmtId="0" fontId="15" fillId="24" borderId="0" applyNumberFormat="0" applyBorder="0" applyAlignment="0" applyProtection="0"/>
    <xf numFmtId="0" fontId="64" fillId="37" borderId="0" applyNumberFormat="0" applyBorder="0" applyAlignment="0" applyProtection="0"/>
    <xf numFmtId="0" fontId="15" fillId="38" borderId="0" applyNumberFormat="0" applyBorder="0" applyAlignment="0" applyProtection="0"/>
    <xf numFmtId="0" fontId="64" fillId="39" borderId="0" applyNumberFormat="0" applyBorder="0" applyAlignment="0" applyProtection="0"/>
    <xf numFmtId="0" fontId="15" fillId="40" borderId="0" applyNumberFormat="0" applyBorder="0" applyAlignment="0" applyProtection="0"/>
    <xf numFmtId="0" fontId="64" fillId="41" borderId="0" applyNumberFormat="0" applyBorder="0" applyAlignment="0" applyProtection="0"/>
    <xf numFmtId="0" fontId="15" fillId="42" borderId="0" applyNumberFormat="0" applyBorder="0" applyAlignment="0" applyProtection="0"/>
    <xf numFmtId="0" fontId="64" fillId="43" borderId="0" applyNumberFormat="0" applyBorder="0" applyAlignment="0" applyProtection="0"/>
    <xf numFmtId="0" fontId="20" fillId="15" borderId="1" applyNumberFormat="0" applyAlignment="0" applyProtection="0"/>
    <xf numFmtId="0" fontId="69" fillId="44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45" borderId="0" applyNumberFormat="0" applyBorder="0" applyAlignment="0" applyProtection="0"/>
    <xf numFmtId="0" fontId="70" fillId="46" borderId="0" applyNumberFormat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2" fillId="15" borderId="0" applyNumberFormat="0" applyBorder="0" applyAlignment="0" applyProtection="0"/>
    <xf numFmtId="0" fontId="71" fillId="47" borderId="0" applyNumberFormat="0" applyBorder="0" applyAlignment="0" applyProtection="0"/>
    <xf numFmtId="0" fontId="4" fillId="0" borderId="0">
      <alignment/>
      <protection/>
    </xf>
    <xf numFmtId="37" fontId="0" fillId="0" borderId="0">
      <alignment/>
      <protection/>
    </xf>
    <xf numFmtId="0" fontId="63" fillId="0" borderId="0">
      <alignment/>
      <protection/>
    </xf>
    <xf numFmtId="0" fontId="0" fillId="6" borderId="7" applyNumberFormat="0" applyFont="0" applyAlignment="0" applyProtection="0"/>
    <xf numFmtId="0" fontId="63" fillId="48" borderId="8" applyNumberFormat="0" applyFont="0" applyAlignment="0" applyProtection="0"/>
    <xf numFmtId="9" fontId="4" fillId="0" borderId="0" applyFont="0" applyFill="0" applyBorder="0" applyAlignment="0" applyProtection="0"/>
    <xf numFmtId="0" fontId="23" fillId="30" borderId="9" applyNumberFormat="0" applyAlignment="0" applyProtection="0"/>
    <xf numFmtId="0" fontId="72" fillId="31" borderId="10" applyNumberFormat="0" applyAlignment="0" applyProtection="0"/>
    <xf numFmtId="164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75" fillId="0" borderId="12" applyNumberFormat="0" applyFill="0" applyAlignment="0" applyProtection="0"/>
    <xf numFmtId="0" fontId="27" fillId="0" borderId="13" applyNumberFormat="0" applyFill="0" applyAlignment="0" applyProtection="0"/>
    <xf numFmtId="0" fontId="76" fillId="0" borderId="14" applyNumberFormat="0" applyFill="0" applyAlignment="0" applyProtection="0"/>
    <xf numFmtId="0" fontId="28" fillId="0" borderId="15" applyNumberFormat="0" applyFill="0" applyAlignment="0" applyProtection="0"/>
    <xf numFmtId="0" fontId="77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79" fillId="0" borderId="18" applyNumberFormat="0" applyFill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543">
    <xf numFmtId="37" fontId="0" fillId="0" borderId="0" xfId="0" applyAlignment="1">
      <alignment/>
    </xf>
    <xf numFmtId="37" fontId="7" fillId="0" borderId="0" xfId="0" applyFont="1" applyAlignment="1">
      <alignment/>
    </xf>
    <xf numFmtId="37" fontId="4" fillId="0" borderId="0" xfId="0" applyFont="1" applyAlignment="1">
      <alignment/>
    </xf>
    <xf numFmtId="37" fontId="1" fillId="0" borderId="0" xfId="0" applyFont="1" applyAlignment="1">
      <alignment horizontal="center"/>
    </xf>
    <xf numFmtId="37" fontId="8" fillId="0" borderId="0" xfId="0" applyFont="1" applyAlignment="1">
      <alignment/>
    </xf>
    <xf numFmtId="37" fontId="9" fillId="0" borderId="0" xfId="0" applyFont="1" applyAlignment="1">
      <alignment/>
    </xf>
    <xf numFmtId="37" fontId="10" fillId="0" borderId="0" xfId="0" applyFont="1" applyAlignment="1">
      <alignment/>
    </xf>
    <xf numFmtId="39" fontId="0" fillId="0" borderId="0" xfId="0" applyNumberFormat="1" applyAlignment="1">
      <alignment/>
    </xf>
    <xf numFmtId="37" fontId="30" fillId="0" borderId="0" xfId="0" applyFont="1" applyAlignment="1">
      <alignment vertical="center"/>
    </xf>
    <xf numFmtId="37" fontId="31" fillId="0" borderId="0" xfId="0" applyFont="1" applyAlignment="1">
      <alignment vertical="center"/>
    </xf>
    <xf numFmtId="39" fontId="30" fillId="0" borderId="19" xfId="0" applyNumberFormat="1" applyFont="1" applyBorder="1" applyAlignment="1">
      <alignment horizontal="center" vertical="center"/>
    </xf>
    <xf numFmtId="39" fontId="30" fillId="0" borderId="20" xfId="0" applyNumberFormat="1" applyFont="1" applyBorder="1" applyAlignment="1">
      <alignment horizontal="center" vertical="center"/>
    </xf>
    <xf numFmtId="37" fontId="30" fillId="0" borderId="0" xfId="0" applyFont="1" applyAlignment="1">
      <alignment/>
    </xf>
    <xf numFmtId="165" fontId="30" fillId="0" borderId="21" xfId="106" applyFont="1" applyBorder="1" applyAlignment="1">
      <alignment horizontal="right" vertical="center"/>
    </xf>
    <xf numFmtId="37" fontId="30" fillId="0" borderId="22" xfId="0" applyFont="1" applyBorder="1" applyAlignment="1">
      <alignment horizontal="center" vertical="center" wrapText="1"/>
    </xf>
    <xf numFmtId="37" fontId="30" fillId="0" borderId="23" xfId="0" applyFont="1" applyBorder="1" applyAlignment="1">
      <alignment horizontal="center" vertical="center" wrapText="1"/>
    </xf>
    <xf numFmtId="165" fontId="30" fillId="0" borderId="0" xfId="106" applyFont="1" applyAlignment="1">
      <alignment horizontal="left" vertical="center"/>
    </xf>
    <xf numFmtId="165" fontId="30" fillId="0" borderId="0" xfId="106" applyFont="1" applyAlignment="1">
      <alignment horizontal="right" vertical="center"/>
    </xf>
    <xf numFmtId="165" fontId="33" fillId="0" borderId="0" xfId="106" applyFont="1" applyAlignment="1">
      <alignment horizontal="right" vertical="center"/>
    </xf>
    <xf numFmtId="37" fontId="30" fillId="0" borderId="24" xfId="0" applyFont="1" applyBorder="1" applyAlignment="1">
      <alignment horizontal="right" vertical="center" indent="1"/>
    </xf>
    <xf numFmtId="37" fontId="30" fillId="0" borderId="21" xfId="0" applyFont="1" applyBorder="1" applyAlignment="1">
      <alignment horizontal="right" vertical="center" indent="1"/>
    </xf>
    <xf numFmtId="37" fontId="33" fillId="0" borderId="25" xfId="0" applyFont="1" applyBorder="1" applyAlignment="1">
      <alignment horizontal="right" vertical="center" indent="1"/>
    </xf>
    <xf numFmtId="37" fontId="30" fillId="0" borderId="26" xfId="0" applyFont="1" applyBorder="1" applyAlignment="1">
      <alignment horizontal="right" vertical="center" indent="1"/>
    </xf>
    <xf numFmtId="37" fontId="30" fillId="0" borderId="27" xfId="0" applyFont="1" applyBorder="1" applyAlignment="1">
      <alignment horizontal="right" vertical="center" indent="1"/>
    </xf>
    <xf numFmtId="37" fontId="33" fillId="0" borderId="28" xfId="0" applyFont="1" applyBorder="1" applyAlignment="1">
      <alignment horizontal="right" vertical="center" indent="1"/>
    </xf>
    <xf numFmtId="37" fontId="30" fillId="0" borderId="0" xfId="0" applyFont="1" applyAlignment="1">
      <alignment horizontal="center" vertical="center"/>
    </xf>
    <xf numFmtId="39" fontId="30" fillId="0" borderId="0" xfId="0" applyNumberFormat="1" applyFont="1" applyAlignment="1">
      <alignment vertical="center"/>
    </xf>
    <xf numFmtId="37" fontId="11" fillId="0" borderId="0" xfId="0" applyFont="1" applyAlignment="1">
      <alignment vertical="center"/>
    </xf>
    <xf numFmtId="37" fontId="0" fillId="0" borderId="29" xfId="0" applyBorder="1" applyAlignment="1">
      <alignment/>
    </xf>
    <xf numFmtId="37" fontId="0" fillId="0" borderId="30" xfId="0" applyBorder="1" applyAlignment="1">
      <alignment/>
    </xf>
    <xf numFmtId="37" fontId="0" fillId="0" borderId="31" xfId="0" applyBorder="1" applyAlignment="1">
      <alignment/>
    </xf>
    <xf numFmtId="37" fontId="0" fillId="0" borderId="32" xfId="0" applyBorder="1" applyAlignment="1">
      <alignment/>
    </xf>
    <xf numFmtId="37" fontId="0" fillId="0" borderId="33" xfId="0" applyBorder="1" applyAlignment="1">
      <alignment/>
    </xf>
    <xf numFmtId="37" fontId="33" fillId="15" borderId="34" xfId="0" applyFont="1" applyFill="1" applyBorder="1" applyAlignment="1">
      <alignment horizontal="right" vertical="center" indent="1"/>
    </xf>
    <xf numFmtId="37" fontId="33" fillId="15" borderId="35" xfId="0" applyFont="1" applyFill="1" applyBorder="1" applyAlignment="1">
      <alignment horizontal="right" vertical="center" indent="1"/>
    </xf>
    <xf numFmtId="37" fontId="11" fillId="0" borderId="0" xfId="0" applyFont="1" applyAlignment="1">
      <alignment/>
    </xf>
    <xf numFmtId="37" fontId="31" fillId="0" borderId="0" xfId="0" applyFont="1" applyAlignment="1">
      <alignment/>
    </xf>
    <xf numFmtId="176" fontId="31" fillId="0" borderId="0" xfId="0" applyNumberFormat="1" applyFont="1" applyAlignment="1">
      <alignment/>
    </xf>
    <xf numFmtId="37" fontId="35" fillId="0" borderId="0" xfId="0" applyFont="1" applyAlignment="1">
      <alignment horizontal="center" vertical="center"/>
    </xf>
    <xf numFmtId="171" fontId="11" fillId="0" borderId="36" xfId="0" applyNumberFormat="1" applyFont="1" applyBorder="1" applyAlignment="1">
      <alignment horizontal="center" vertical="center"/>
    </xf>
    <xf numFmtId="171" fontId="11" fillId="0" borderId="37" xfId="0" applyNumberFormat="1" applyFont="1" applyBorder="1" applyAlignment="1">
      <alignment horizontal="center" vertical="center"/>
    </xf>
    <xf numFmtId="171" fontId="11" fillId="0" borderId="38" xfId="0" applyNumberFormat="1" applyFont="1" applyBorder="1" applyAlignment="1">
      <alignment horizontal="center" vertical="center"/>
    </xf>
    <xf numFmtId="171" fontId="11" fillId="0" borderId="39" xfId="0" applyNumberFormat="1" applyFont="1" applyBorder="1" applyAlignment="1">
      <alignment horizontal="center" vertical="center"/>
    </xf>
    <xf numFmtId="171" fontId="11" fillId="0" borderId="36" xfId="106" applyNumberFormat="1" applyFont="1" applyBorder="1" applyAlignment="1">
      <alignment horizontal="center" vertical="center"/>
    </xf>
    <xf numFmtId="171" fontId="11" fillId="0" borderId="27" xfId="106" applyNumberFormat="1" applyFont="1" applyBorder="1" applyAlignment="1">
      <alignment horizontal="center" vertical="center"/>
    </xf>
    <xf numFmtId="171" fontId="11" fillId="0" borderId="26" xfId="106" applyNumberFormat="1" applyFont="1" applyBorder="1" applyAlignment="1">
      <alignment horizontal="center" vertical="center"/>
    </xf>
    <xf numFmtId="174" fontId="31" fillId="0" borderId="0" xfId="0" applyNumberFormat="1" applyFont="1" applyAlignment="1">
      <alignment/>
    </xf>
    <xf numFmtId="37" fontId="11" fillId="0" borderId="40" xfId="0" applyFont="1" applyBorder="1" applyAlignment="1">
      <alignment horizontal="center" vertical="center"/>
    </xf>
    <xf numFmtId="37" fontId="11" fillId="0" borderId="41" xfId="0" applyFont="1" applyBorder="1" applyAlignment="1">
      <alignment horizontal="center" vertical="center"/>
    </xf>
    <xf numFmtId="171" fontId="11" fillId="0" borderId="40" xfId="0" applyNumberFormat="1" applyFont="1" applyBorder="1" applyAlignment="1">
      <alignment horizontal="center" vertical="center"/>
    </xf>
    <xf numFmtId="37" fontId="30" fillId="0" borderId="42" xfId="0" applyFont="1" applyBorder="1" applyAlignment="1">
      <alignment vertical="center"/>
    </xf>
    <xf numFmtId="37" fontId="30" fillId="0" borderId="36" xfId="0" applyFont="1" applyBorder="1" applyAlignment="1">
      <alignment vertical="center"/>
    </xf>
    <xf numFmtId="37" fontId="30" fillId="0" borderId="43" xfId="0" applyFont="1" applyBorder="1" applyAlignment="1">
      <alignment vertical="center"/>
    </xf>
    <xf numFmtId="171" fontId="11" fillId="0" borderId="42" xfId="0" applyNumberFormat="1" applyFont="1" applyBorder="1" applyAlignment="1">
      <alignment horizontal="center" vertical="center"/>
    </xf>
    <xf numFmtId="171" fontId="30" fillId="0" borderId="24" xfId="0" applyNumberFormat="1" applyFont="1" applyBorder="1" applyAlignment="1">
      <alignment horizontal="center" vertical="center"/>
    </xf>
    <xf numFmtId="37" fontId="30" fillId="0" borderId="44" xfId="0" applyFont="1" applyBorder="1" applyAlignment="1">
      <alignment horizontal="center" vertical="center"/>
    </xf>
    <xf numFmtId="165" fontId="30" fillId="0" borderId="21" xfId="106" applyFont="1" applyBorder="1" applyAlignment="1">
      <alignment horizontal="center" vertical="center"/>
    </xf>
    <xf numFmtId="165" fontId="30" fillId="0" borderId="44" xfId="106" applyFont="1" applyBorder="1" applyAlignment="1">
      <alignment horizontal="center" vertical="center"/>
    </xf>
    <xf numFmtId="171" fontId="32" fillId="0" borderId="26" xfId="0" applyNumberFormat="1" applyFont="1" applyBorder="1" applyAlignment="1">
      <alignment vertical="center"/>
    </xf>
    <xf numFmtId="171" fontId="32" fillId="0" borderId="42" xfId="0" applyNumberFormat="1" applyFont="1" applyBorder="1" applyAlignment="1">
      <alignment horizontal="center" vertical="center"/>
    </xf>
    <xf numFmtId="171" fontId="32" fillId="0" borderId="26" xfId="0" applyNumberFormat="1" applyFont="1" applyBorder="1" applyAlignment="1">
      <alignment horizontal="center" vertical="center"/>
    </xf>
    <xf numFmtId="10" fontId="30" fillId="0" borderId="21" xfId="86" applyNumberFormat="1" applyFont="1" applyBorder="1" applyAlignment="1">
      <alignment horizontal="center" vertical="center"/>
    </xf>
    <xf numFmtId="10" fontId="30" fillId="0" borderId="39" xfId="86" applyNumberFormat="1" applyFont="1" applyBorder="1" applyAlignment="1">
      <alignment horizontal="center" vertical="center"/>
    </xf>
    <xf numFmtId="171" fontId="32" fillId="0" borderId="27" xfId="0" applyNumberFormat="1" applyFont="1" applyBorder="1" applyAlignment="1">
      <alignment horizontal="center" vertical="center"/>
    </xf>
    <xf numFmtId="175" fontId="32" fillId="0" borderId="27" xfId="0" applyNumberFormat="1" applyFont="1" applyBorder="1" applyAlignment="1">
      <alignment horizontal="center" vertical="center"/>
    </xf>
    <xf numFmtId="37" fontId="32" fillId="0" borderId="45" xfId="0" applyFont="1" applyBorder="1" applyAlignment="1">
      <alignment horizontal="center" vertical="center"/>
    </xf>
    <xf numFmtId="171" fontId="32" fillId="0" borderId="36" xfId="0" applyNumberFormat="1" applyFont="1" applyBorder="1" applyAlignment="1">
      <alignment horizontal="center" vertical="center"/>
    </xf>
    <xf numFmtId="37" fontId="32" fillId="0" borderId="43" xfId="0" applyFont="1" applyBorder="1" applyAlignment="1">
      <alignment horizontal="center" vertical="center"/>
    </xf>
    <xf numFmtId="175" fontId="32" fillId="0" borderId="45" xfId="0" applyNumberFormat="1" applyFont="1" applyBorder="1" applyAlignment="1">
      <alignment horizontal="center" vertical="center"/>
    </xf>
    <xf numFmtId="2" fontId="30" fillId="0" borderId="21" xfId="0" applyNumberFormat="1" applyFont="1" applyBorder="1" applyAlignment="1">
      <alignment horizontal="right" vertical="center"/>
    </xf>
    <xf numFmtId="171" fontId="32" fillId="0" borderId="27" xfId="106" applyNumberFormat="1" applyFont="1" applyBorder="1" applyAlignment="1">
      <alignment horizontal="center" vertical="center"/>
    </xf>
    <xf numFmtId="165" fontId="30" fillId="0" borderId="24" xfId="106" applyFont="1" applyBorder="1" applyAlignment="1">
      <alignment horizontal="center" vertical="center"/>
    </xf>
    <xf numFmtId="172" fontId="30" fillId="0" borderId="21" xfId="106" applyNumberFormat="1" applyFont="1" applyBorder="1" applyAlignment="1">
      <alignment horizontal="center" vertical="center"/>
    </xf>
    <xf numFmtId="165" fontId="30" fillId="0" borderId="24" xfId="106" applyFont="1" applyBorder="1" applyAlignment="1">
      <alignment horizontal="right" vertical="center"/>
    </xf>
    <xf numFmtId="171" fontId="30" fillId="0" borderId="21" xfId="106" applyNumberFormat="1" applyFont="1" applyBorder="1" applyAlignment="1">
      <alignment horizontal="right" vertical="center"/>
    </xf>
    <xf numFmtId="171" fontId="11" fillId="0" borderId="37" xfId="0" applyNumberFormat="1" applyFont="1" applyBorder="1" applyAlignment="1">
      <alignment horizontal="right" vertical="center"/>
    </xf>
    <xf numFmtId="171" fontId="11" fillId="0" borderId="38" xfId="0" applyNumberFormat="1" applyFont="1" applyBorder="1" applyAlignment="1">
      <alignment horizontal="right" vertical="center"/>
    </xf>
    <xf numFmtId="172" fontId="11" fillId="0" borderId="38" xfId="0" applyNumberFormat="1" applyFont="1" applyBorder="1" applyAlignment="1">
      <alignment horizontal="right" vertical="center"/>
    </xf>
    <xf numFmtId="171" fontId="11" fillId="0" borderId="38" xfId="106" applyNumberFormat="1" applyFont="1" applyBorder="1" applyAlignment="1">
      <alignment horizontal="right" vertical="center"/>
    </xf>
    <xf numFmtId="171" fontId="11" fillId="0" borderId="39" xfId="0" applyNumberFormat="1" applyFont="1" applyBorder="1" applyAlignment="1">
      <alignment horizontal="right" vertical="center"/>
    </xf>
    <xf numFmtId="172" fontId="11" fillId="0" borderId="39" xfId="0" applyNumberFormat="1" applyFont="1" applyBorder="1" applyAlignment="1">
      <alignment horizontal="right" vertical="center"/>
    </xf>
    <xf numFmtId="2" fontId="30" fillId="0" borderId="21" xfId="0" applyNumberFormat="1" applyFont="1" applyBorder="1" applyAlignment="1">
      <alignment vertical="center"/>
    </xf>
    <xf numFmtId="37" fontId="30" fillId="6" borderId="45" xfId="0" applyFont="1" applyFill="1" applyBorder="1" applyAlignment="1">
      <alignment horizontal="center" vertical="center"/>
    </xf>
    <xf numFmtId="37" fontId="30" fillId="6" borderId="44" xfId="0" applyFont="1" applyFill="1" applyBorder="1" applyAlignment="1">
      <alignment horizontal="center" vertical="center"/>
    </xf>
    <xf numFmtId="37" fontId="30" fillId="6" borderId="41" xfId="0" applyFont="1" applyFill="1" applyBorder="1" applyAlignment="1">
      <alignment horizontal="center" vertical="center"/>
    </xf>
    <xf numFmtId="37" fontId="30" fillId="6" borderId="40" xfId="0" applyFont="1" applyFill="1" applyBorder="1" applyAlignment="1">
      <alignment horizontal="center" vertical="center"/>
    </xf>
    <xf numFmtId="37" fontId="30" fillId="6" borderId="43" xfId="0" applyFont="1" applyFill="1" applyBorder="1" applyAlignment="1">
      <alignment horizontal="center" vertical="center"/>
    </xf>
    <xf numFmtId="170" fontId="38" fillId="6" borderId="22" xfId="0" applyNumberFormat="1" applyFont="1" applyFill="1" applyBorder="1" applyAlignment="1">
      <alignment horizontal="center" vertical="center"/>
    </xf>
    <xf numFmtId="170" fontId="38" fillId="6" borderId="23" xfId="0" applyNumberFormat="1" applyFont="1" applyFill="1" applyBorder="1" applyAlignment="1">
      <alignment horizontal="center" vertical="center"/>
    </xf>
    <xf numFmtId="170" fontId="38" fillId="6" borderId="46" xfId="0" applyNumberFormat="1" applyFont="1" applyFill="1" applyBorder="1" applyAlignment="1">
      <alignment horizontal="center" vertical="center"/>
    </xf>
    <xf numFmtId="37" fontId="31" fillId="6" borderId="47" xfId="0" applyFont="1" applyFill="1" applyBorder="1" applyAlignment="1">
      <alignment horizontal="center" vertical="center"/>
    </xf>
    <xf numFmtId="37" fontId="31" fillId="6" borderId="23" xfId="0" applyFont="1" applyFill="1" applyBorder="1" applyAlignment="1">
      <alignment horizontal="center" vertical="center"/>
    </xf>
    <xf numFmtId="170" fontId="38" fillId="6" borderId="48" xfId="0" applyNumberFormat="1" applyFont="1" applyFill="1" applyBorder="1" applyAlignment="1">
      <alignment horizontal="center" vertical="center"/>
    </xf>
    <xf numFmtId="37" fontId="31" fillId="6" borderId="22" xfId="0" applyFont="1" applyFill="1" applyBorder="1" applyAlignment="1">
      <alignment horizontal="center" vertical="center"/>
    </xf>
    <xf numFmtId="171" fontId="31" fillId="6" borderId="47" xfId="0" applyNumberFormat="1" applyFont="1" applyFill="1" applyBorder="1" applyAlignment="1">
      <alignment horizontal="center" vertical="center"/>
    </xf>
    <xf numFmtId="171" fontId="11" fillId="0" borderId="43" xfId="0" applyNumberFormat="1" applyFont="1" applyBorder="1" applyAlignment="1">
      <alignment horizontal="center" vertical="center"/>
    </xf>
    <xf numFmtId="171" fontId="11" fillId="0" borderId="37" xfId="106" applyNumberFormat="1" applyFont="1" applyBorder="1" applyAlignment="1">
      <alignment horizontal="right" vertical="center"/>
    </xf>
    <xf numFmtId="37" fontId="34" fillId="0" borderId="0" xfId="0" applyFont="1" applyAlignment="1">
      <alignment/>
    </xf>
    <xf numFmtId="170" fontId="34" fillId="6" borderId="22" xfId="0" applyNumberFormat="1" applyFont="1" applyFill="1" applyBorder="1" applyAlignment="1">
      <alignment horizontal="center" vertical="center"/>
    </xf>
    <xf numFmtId="170" fontId="34" fillId="6" borderId="23" xfId="0" applyNumberFormat="1" applyFont="1" applyFill="1" applyBorder="1" applyAlignment="1">
      <alignment horizontal="center" vertical="center"/>
    </xf>
    <xf numFmtId="170" fontId="34" fillId="6" borderId="46" xfId="0" applyNumberFormat="1" applyFont="1" applyFill="1" applyBorder="1" applyAlignment="1">
      <alignment horizontal="center" vertical="center"/>
    </xf>
    <xf numFmtId="170" fontId="34" fillId="6" borderId="48" xfId="0" applyNumberFormat="1" applyFont="1" applyFill="1" applyBorder="1" applyAlignment="1">
      <alignment horizontal="center" vertical="center"/>
    </xf>
    <xf numFmtId="37" fontId="34" fillId="6" borderId="47" xfId="0" applyFont="1" applyFill="1" applyBorder="1" applyAlignment="1">
      <alignment horizontal="center" vertical="center"/>
    </xf>
    <xf numFmtId="37" fontId="34" fillId="6" borderId="23" xfId="0" applyFont="1" applyFill="1" applyBorder="1" applyAlignment="1">
      <alignment horizontal="center" vertical="center"/>
    </xf>
    <xf numFmtId="37" fontId="34" fillId="6" borderId="22" xfId="0" applyFont="1" applyFill="1" applyBorder="1" applyAlignment="1">
      <alignment horizontal="center" vertical="center"/>
    </xf>
    <xf numFmtId="171" fontId="34" fillId="6" borderId="47" xfId="0" applyNumberFormat="1" applyFont="1" applyFill="1" applyBorder="1" applyAlignment="1">
      <alignment horizontal="center" vertical="center"/>
    </xf>
    <xf numFmtId="170" fontId="34" fillId="6" borderId="28" xfId="0" applyNumberFormat="1" applyFont="1" applyFill="1" applyBorder="1" applyAlignment="1">
      <alignment horizontal="center" vertical="center"/>
    </xf>
    <xf numFmtId="170" fontId="34" fillId="6" borderId="25" xfId="0" applyNumberFormat="1" applyFont="1" applyFill="1" applyBorder="1" applyAlignment="1">
      <alignment horizontal="center" vertical="center"/>
    </xf>
    <xf numFmtId="170" fontId="34" fillId="6" borderId="49" xfId="0" applyNumberFormat="1" applyFont="1" applyFill="1" applyBorder="1" applyAlignment="1">
      <alignment horizontal="center" vertical="center"/>
    </xf>
    <xf numFmtId="37" fontId="34" fillId="6" borderId="28" xfId="0" applyFont="1" applyFill="1" applyBorder="1" applyAlignment="1">
      <alignment horizontal="center" vertical="center"/>
    </xf>
    <xf numFmtId="37" fontId="34" fillId="6" borderId="25" xfId="0" applyFont="1" applyFill="1" applyBorder="1" applyAlignment="1">
      <alignment horizontal="center" vertical="center"/>
    </xf>
    <xf numFmtId="171" fontId="34" fillId="6" borderId="50" xfId="0" applyNumberFormat="1" applyFont="1" applyFill="1" applyBorder="1" applyAlignment="1">
      <alignment horizontal="center" vertical="center"/>
    </xf>
    <xf numFmtId="37" fontId="31" fillId="0" borderId="32" xfId="0" applyFont="1" applyBorder="1" applyAlignment="1">
      <alignment vertical="center"/>
    </xf>
    <xf numFmtId="171" fontId="31" fillId="30" borderId="51" xfId="0" applyNumberFormat="1" applyFont="1" applyFill="1" applyBorder="1" applyAlignment="1">
      <alignment horizontal="center" vertical="center"/>
    </xf>
    <xf numFmtId="37" fontId="11" fillId="30" borderId="52" xfId="0" applyFont="1" applyFill="1" applyBorder="1" applyAlignment="1">
      <alignment horizontal="right" vertical="center"/>
    </xf>
    <xf numFmtId="9" fontId="11" fillId="30" borderId="53" xfId="86" applyFont="1" applyFill="1" applyBorder="1" applyAlignment="1">
      <alignment horizontal="center" vertical="center"/>
    </xf>
    <xf numFmtId="37" fontId="11" fillId="30" borderId="54" xfId="0" applyFont="1" applyFill="1" applyBorder="1" applyAlignment="1">
      <alignment vertical="center"/>
    </xf>
    <xf numFmtId="37" fontId="11" fillId="30" borderId="53" xfId="0" applyFont="1" applyFill="1" applyBorder="1" applyAlignment="1">
      <alignment horizontal="right" vertical="center"/>
    </xf>
    <xf numFmtId="171" fontId="31" fillId="30" borderId="55" xfId="0" applyNumberFormat="1" applyFont="1" applyFill="1" applyBorder="1" applyAlignment="1">
      <alignment horizontal="center" vertical="center"/>
    </xf>
    <xf numFmtId="9" fontId="11" fillId="30" borderId="53" xfId="86" applyFont="1" applyFill="1" applyBorder="1" applyAlignment="1" applyProtection="1">
      <alignment horizontal="center" vertical="center"/>
      <protection locked="0"/>
    </xf>
    <xf numFmtId="176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9" fontId="9" fillId="0" borderId="0" xfId="86" applyFont="1" applyAlignment="1">
      <alignment/>
    </xf>
    <xf numFmtId="176" fontId="0" fillId="0" borderId="0" xfId="0" applyNumberFormat="1" applyAlignment="1">
      <alignment/>
    </xf>
    <xf numFmtId="165" fontId="31" fillId="0" borderId="0" xfId="106" applyFont="1" applyAlignment="1">
      <alignment/>
    </xf>
    <xf numFmtId="168" fontId="11" fillId="0" borderId="38" xfId="0" applyNumberFormat="1" applyFont="1" applyBorder="1" applyAlignment="1">
      <alignment horizontal="right" vertical="center"/>
    </xf>
    <xf numFmtId="171" fontId="32" fillId="0" borderId="26" xfId="106" applyNumberFormat="1" applyFont="1" applyBorder="1" applyAlignment="1">
      <alignment horizontal="center" vertical="center"/>
    </xf>
    <xf numFmtId="168" fontId="30" fillId="0" borderId="21" xfId="0" applyNumberFormat="1" applyFont="1" applyBorder="1" applyAlignment="1">
      <alignment horizontal="right" vertical="center"/>
    </xf>
    <xf numFmtId="37" fontId="30" fillId="0" borderId="0" xfId="0" applyFont="1" applyAlignment="1">
      <alignment horizontal="center" vertical="center" wrapText="1"/>
    </xf>
    <xf numFmtId="39" fontId="7" fillId="0" borderId="0" xfId="0" applyNumberFormat="1" applyFont="1" applyAlignment="1">
      <alignment/>
    </xf>
    <xf numFmtId="165" fontId="9" fillId="0" borderId="0" xfId="106" applyFont="1" applyAlignment="1">
      <alignment/>
    </xf>
    <xf numFmtId="37" fontId="0" fillId="0" borderId="0" xfId="0" applyAlignment="1">
      <alignment horizontal="left"/>
    </xf>
    <xf numFmtId="184" fontId="0" fillId="0" borderId="0" xfId="0" applyNumberFormat="1" applyAlignment="1">
      <alignment/>
    </xf>
    <xf numFmtId="37" fontId="0" fillId="0" borderId="0" xfId="0" applyAlignment="1">
      <alignment horizontal="left" indent="1"/>
    </xf>
    <xf numFmtId="9" fontId="4" fillId="0" borderId="0" xfId="86" applyAlignment="1">
      <alignment/>
    </xf>
    <xf numFmtId="182" fontId="4" fillId="0" borderId="0" xfId="0" applyNumberFormat="1" applyFont="1" applyAlignment="1">
      <alignment/>
    </xf>
    <xf numFmtId="184" fontId="40" fillId="0" borderId="0" xfId="0" applyNumberFormat="1" applyFont="1" applyAlignment="1">
      <alignment/>
    </xf>
    <xf numFmtId="9" fontId="7" fillId="0" borderId="0" xfId="86" applyFont="1" applyAlignment="1">
      <alignment/>
    </xf>
    <xf numFmtId="10" fontId="9" fillId="0" borderId="0" xfId="86" applyNumberFormat="1" applyFont="1" applyAlignment="1">
      <alignment/>
    </xf>
    <xf numFmtId="9" fontId="0" fillId="0" borderId="0" xfId="86" applyFont="1" applyAlignment="1">
      <alignment/>
    </xf>
    <xf numFmtId="37" fontId="80" fillId="0" borderId="0" xfId="0" applyFont="1" applyAlignment="1">
      <alignment/>
    </xf>
    <xf numFmtId="37" fontId="80" fillId="0" borderId="0" xfId="0" applyFont="1" applyAlignment="1">
      <alignment/>
    </xf>
    <xf numFmtId="39" fontId="80" fillId="0" borderId="0" xfId="0" applyNumberFormat="1" applyFont="1" applyAlignment="1">
      <alignment/>
    </xf>
    <xf numFmtId="203" fontId="11" fillId="0" borderId="38" xfId="0" applyNumberFormat="1" applyFont="1" applyBorder="1" applyAlignment="1">
      <alignment horizontal="right" vertical="center"/>
    </xf>
    <xf numFmtId="181" fontId="0" fillId="49" borderId="0" xfId="0" applyNumberFormat="1" applyFill="1" applyAlignment="1">
      <alignment/>
    </xf>
    <xf numFmtId="37" fontId="4" fillId="49" borderId="0" xfId="0" applyFont="1" applyFill="1" applyAlignment="1">
      <alignment/>
    </xf>
    <xf numFmtId="10" fontId="30" fillId="49" borderId="0" xfId="86" applyNumberFormat="1" applyFont="1" applyFill="1" applyAlignment="1" applyProtection="1">
      <alignment horizontal="center" vertical="center"/>
      <protection locked="0"/>
    </xf>
    <xf numFmtId="37" fontId="4" fillId="49" borderId="0" xfId="0" applyFont="1" applyFill="1" applyAlignment="1">
      <alignment/>
    </xf>
    <xf numFmtId="37" fontId="1" fillId="49" borderId="0" xfId="0" applyFont="1" applyFill="1" applyAlignment="1">
      <alignment horizontal="center"/>
    </xf>
    <xf numFmtId="196" fontId="4" fillId="0" borderId="0" xfId="0" applyNumberFormat="1" applyFont="1" applyAlignment="1">
      <alignment/>
    </xf>
    <xf numFmtId="177" fontId="30" fillId="49" borderId="0" xfId="82" applyNumberFormat="1" applyFont="1" applyFill="1" applyAlignment="1">
      <alignment horizontal="right" vertical="center"/>
      <protection/>
    </xf>
    <xf numFmtId="37" fontId="7" fillId="49" borderId="0" xfId="0" applyFont="1" applyFill="1" applyAlignment="1">
      <alignment/>
    </xf>
    <xf numFmtId="178" fontId="4" fillId="49" borderId="0" xfId="77" applyNumberFormat="1" applyFill="1" applyAlignment="1">
      <alignment/>
    </xf>
    <xf numFmtId="178" fontId="7" fillId="49" borderId="0" xfId="77" applyNumberFormat="1" applyFont="1" applyFill="1" applyAlignment="1">
      <alignment/>
    </xf>
    <xf numFmtId="10" fontId="7" fillId="49" borderId="0" xfId="86" applyNumberFormat="1" applyFont="1" applyFill="1" applyAlignment="1">
      <alignment/>
    </xf>
    <xf numFmtId="39" fontId="30" fillId="0" borderId="39" xfId="0" applyNumberFormat="1" applyFont="1" applyBorder="1" applyAlignment="1">
      <alignment vertical="center"/>
    </xf>
    <xf numFmtId="178" fontId="7" fillId="0" borderId="0" xfId="77" applyNumberFormat="1" applyFont="1" applyAlignment="1">
      <alignment/>
    </xf>
    <xf numFmtId="10" fontId="7" fillId="0" borderId="0" xfId="86" applyNumberFormat="1" applyFont="1" applyAlignment="1">
      <alignment/>
    </xf>
    <xf numFmtId="181" fontId="0" fillId="0" borderId="0" xfId="0" applyNumberFormat="1" applyFont="1" applyAlignment="1">
      <alignment/>
    </xf>
    <xf numFmtId="37" fontId="30" fillId="0" borderId="0" xfId="0" applyFont="1" applyAlignment="1">
      <alignment horizontal="right" vertical="center" indent="1"/>
    </xf>
    <xf numFmtId="181" fontId="0" fillId="49" borderId="0" xfId="0" applyNumberFormat="1" applyFont="1" applyFill="1" applyAlignment="1">
      <alignment/>
    </xf>
    <xf numFmtId="182" fontId="9" fillId="0" borderId="0" xfId="0" applyNumberFormat="1" applyFont="1" applyAlignment="1">
      <alignment/>
    </xf>
    <xf numFmtId="37" fontId="79" fillId="50" borderId="56" xfId="0" applyFont="1" applyFill="1" applyBorder="1" applyAlignment="1">
      <alignment/>
    </xf>
    <xf numFmtId="3" fontId="0" fillId="0" borderId="0" xfId="0" applyNumberFormat="1" applyAlignment="1">
      <alignment horizontal="left"/>
    </xf>
    <xf numFmtId="169" fontId="0" fillId="0" borderId="0" xfId="106" applyNumberFormat="1" applyFont="1" applyAlignment="1">
      <alignment/>
    </xf>
    <xf numFmtId="37" fontId="7" fillId="0" borderId="57" xfId="0" applyFont="1" applyBorder="1" applyAlignment="1">
      <alignment horizontal="center" vertical="center"/>
    </xf>
    <xf numFmtId="10" fontId="7" fillId="0" borderId="57" xfId="86" applyNumberFormat="1" applyFont="1" applyBorder="1" applyAlignment="1">
      <alignment horizontal="center" vertical="center"/>
    </xf>
    <xf numFmtId="178" fontId="7" fillId="49" borderId="0" xfId="0" applyNumberFormat="1" applyFont="1" applyFill="1" applyAlignment="1">
      <alignment/>
    </xf>
    <xf numFmtId="4" fontId="30" fillId="0" borderId="0" xfId="0" applyNumberFormat="1" applyFont="1" applyAlignment="1">
      <alignment horizontal="right" vertical="center"/>
    </xf>
    <xf numFmtId="37" fontId="33" fillId="0" borderId="0" xfId="0" applyFont="1" applyAlignment="1">
      <alignment vertical="center" wrapText="1"/>
    </xf>
    <xf numFmtId="1" fontId="33" fillId="0" borderId="0" xfId="0" applyNumberFormat="1" applyFont="1" applyAlignment="1">
      <alignment vertical="center" wrapText="1"/>
    </xf>
    <xf numFmtId="169" fontId="13" fillId="0" borderId="0" xfId="106" applyNumberFormat="1" applyFont="1" applyAlignment="1">
      <alignment horizontal="left" vertical="center"/>
    </xf>
    <xf numFmtId="207" fontId="9" fillId="0" borderId="0" xfId="0" applyNumberFormat="1" applyFont="1" applyAlignment="1">
      <alignment/>
    </xf>
    <xf numFmtId="39" fontId="11" fillId="0" borderId="0" xfId="0" applyNumberFormat="1" applyFont="1" applyAlignment="1">
      <alignment/>
    </xf>
    <xf numFmtId="37" fontId="34" fillId="0" borderId="0" xfId="0" applyFont="1" applyAlignment="1">
      <alignment vertical="center"/>
    </xf>
    <xf numFmtId="165" fontId="11" fillId="0" borderId="0" xfId="106" applyFont="1" applyAlignment="1">
      <alignment vertical="center"/>
    </xf>
    <xf numFmtId="169" fontId="13" fillId="49" borderId="0" xfId="106" applyNumberFormat="1" applyFont="1" applyFill="1" applyBorder="1" applyAlignment="1">
      <alignment horizontal="left" vertical="center"/>
    </xf>
    <xf numFmtId="37" fontId="0" fillId="0" borderId="0" xfId="0" applyAlignment="1">
      <alignment/>
    </xf>
    <xf numFmtId="10" fontId="0" fillId="0" borderId="0" xfId="86" applyNumberFormat="1" applyFont="1" applyAlignment="1">
      <alignment/>
    </xf>
    <xf numFmtId="37" fontId="0" fillId="0" borderId="0" xfId="0" applyBorder="1" applyAlignment="1">
      <alignment/>
    </xf>
    <xf numFmtId="37" fontId="43" fillId="0" borderId="0" xfId="0" applyFont="1" applyBorder="1" applyAlignment="1">
      <alignment horizontal="center" vertical="center" wrapText="1"/>
    </xf>
    <xf numFmtId="39" fontId="9" fillId="0" borderId="0" xfId="0" applyNumberFormat="1" applyFont="1" applyAlignment="1">
      <alignment/>
    </xf>
    <xf numFmtId="37" fontId="0" fillId="0" borderId="0" xfId="0" applyFill="1" applyBorder="1" applyAlignment="1">
      <alignment/>
    </xf>
    <xf numFmtId="39" fontId="0" fillId="0" borderId="0" xfId="0" applyNumberFormat="1" applyFill="1" applyBorder="1" applyAlignment="1">
      <alignment/>
    </xf>
    <xf numFmtId="4" fontId="11" fillId="0" borderId="0" xfId="106" applyNumberFormat="1" applyFont="1" applyFill="1" applyBorder="1" applyAlignment="1">
      <alignment horizontal="right" vertical="center"/>
    </xf>
    <xf numFmtId="37" fontId="33" fillId="0" borderId="0" xfId="0" applyFont="1" applyAlignment="1">
      <alignment vertical="center"/>
    </xf>
    <xf numFmtId="37" fontId="30" fillId="0" borderId="27" xfId="0" applyFont="1" applyFill="1" applyBorder="1" applyAlignment="1">
      <alignment horizontal="right" vertical="center" indent="1"/>
    </xf>
    <xf numFmtId="37" fontId="30" fillId="0" borderId="21" xfId="0" applyFont="1" applyFill="1" applyBorder="1" applyAlignment="1">
      <alignment horizontal="right" vertical="center" indent="1"/>
    </xf>
    <xf numFmtId="1" fontId="30" fillId="49" borderId="0" xfId="86" applyNumberFormat="1" applyFont="1" applyFill="1" applyAlignment="1">
      <alignment vertical="center" wrapText="1"/>
    </xf>
    <xf numFmtId="37" fontId="0" fillId="0" borderId="0" xfId="0" applyAlignment="1">
      <alignment horizontal="center"/>
    </xf>
    <xf numFmtId="37" fontId="38" fillId="51" borderId="32" xfId="0" applyFont="1" applyFill="1" applyBorder="1" applyAlignment="1">
      <alignment vertical="center"/>
    </xf>
    <xf numFmtId="37" fontId="38" fillId="51" borderId="0" xfId="0" applyFont="1" applyFill="1" applyAlignment="1">
      <alignment horizontal="center" vertical="center"/>
    </xf>
    <xf numFmtId="39" fontId="30" fillId="49" borderId="0" xfId="82" applyNumberFormat="1" applyFont="1" applyFill="1" applyAlignment="1">
      <alignment vertical="center"/>
      <protection/>
    </xf>
    <xf numFmtId="39" fontId="11" fillId="51" borderId="34" xfId="0" applyNumberFormat="1" applyFont="1" applyFill="1" applyBorder="1" applyAlignment="1">
      <alignment horizontal="right" vertical="center" indent="1"/>
    </xf>
    <xf numFmtId="3" fontId="31" fillId="0" borderId="27" xfId="106" applyNumberFormat="1" applyFont="1" applyBorder="1" applyAlignment="1">
      <alignment horizontal="center" vertical="center"/>
    </xf>
    <xf numFmtId="37" fontId="33" fillId="51" borderId="58" xfId="0" applyFont="1" applyFill="1" applyBorder="1" applyAlignment="1">
      <alignment vertical="center" wrapText="1"/>
    </xf>
    <xf numFmtId="49" fontId="33" fillId="51" borderId="59" xfId="0" applyNumberFormat="1" applyFont="1" applyFill="1" applyBorder="1" applyAlignment="1">
      <alignment horizontal="center" vertical="center" wrapText="1"/>
    </xf>
    <xf numFmtId="37" fontId="34" fillId="8" borderId="60" xfId="0" applyFont="1" applyFill="1" applyBorder="1" applyAlignment="1">
      <alignment vertical="center"/>
    </xf>
    <xf numFmtId="169" fontId="13" fillId="8" borderId="61" xfId="106" applyNumberFormat="1" applyFont="1" applyFill="1" applyBorder="1" applyAlignment="1">
      <alignment horizontal="left" vertical="center"/>
    </xf>
    <xf numFmtId="37" fontId="0" fillId="0" borderId="58" xfId="0" applyBorder="1" applyAlignment="1">
      <alignment/>
    </xf>
    <xf numFmtId="39" fontId="30" fillId="0" borderId="62" xfId="0" applyNumberFormat="1" applyFont="1" applyBorder="1" applyAlignment="1">
      <alignment horizontal="center" vertical="center"/>
    </xf>
    <xf numFmtId="169" fontId="11" fillId="0" borderId="0" xfId="0" applyNumberFormat="1" applyFont="1" applyBorder="1" applyAlignment="1">
      <alignment horizontal="center" vertical="center"/>
    </xf>
    <xf numFmtId="37" fontId="0" fillId="0" borderId="63" xfId="0" applyBorder="1" applyAlignment="1">
      <alignment/>
    </xf>
    <xf numFmtId="37" fontId="11" fillId="0" borderId="64" xfId="0" applyFont="1" applyBorder="1" applyAlignment="1">
      <alignment horizontal="left" vertical="center" indent="1"/>
    </xf>
    <xf numFmtId="37" fontId="34" fillId="8" borderId="65" xfId="0" applyFont="1" applyFill="1" applyBorder="1" applyAlignment="1">
      <alignment vertical="center"/>
    </xf>
    <xf numFmtId="37" fontId="34" fillId="8" borderId="66" xfId="0" applyFont="1" applyFill="1" applyBorder="1" applyAlignment="1">
      <alignment vertical="center"/>
    </xf>
    <xf numFmtId="37" fontId="30" fillId="49" borderId="67" xfId="82" applyFont="1" applyFill="1" applyBorder="1" applyAlignment="1">
      <alignment vertical="center"/>
      <protection/>
    </xf>
    <xf numFmtId="207" fontId="7" fillId="49" borderId="68" xfId="0" applyNumberFormat="1" applyFont="1" applyFill="1" applyBorder="1" applyAlignment="1">
      <alignment/>
    </xf>
    <xf numFmtId="37" fontId="4" fillId="0" borderId="59" xfId="0" applyFont="1" applyBorder="1" applyAlignment="1">
      <alignment/>
    </xf>
    <xf numFmtId="37" fontId="30" fillId="49" borderId="58" xfId="82" applyFont="1" applyFill="1" applyBorder="1" applyAlignment="1">
      <alignment vertical="center"/>
      <protection/>
    </xf>
    <xf numFmtId="207" fontId="4" fillId="49" borderId="59" xfId="0" applyNumberFormat="1" applyFont="1" applyFill="1" applyBorder="1" applyAlignment="1">
      <alignment/>
    </xf>
    <xf numFmtId="9" fontId="30" fillId="49" borderId="67" xfId="86" applyFont="1" applyFill="1" applyBorder="1" applyAlignment="1">
      <alignment vertical="center"/>
    </xf>
    <xf numFmtId="37" fontId="30" fillId="49" borderId="69" xfId="82" applyFont="1" applyFill="1" applyBorder="1" applyAlignment="1">
      <alignment vertical="center"/>
      <protection/>
    </xf>
    <xf numFmtId="182" fontId="4" fillId="0" borderId="70" xfId="0" applyNumberFormat="1" applyFont="1" applyBorder="1" applyAlignment="1">
      <alignment/>
    </xf>
    <xf numFmtId="37" fontId="38" fillId="6" borderId="71" xfId="0" applyFont="1" applyFill="1" applyBorder="1" applyAlignment="1">
      <alignment horizontal="left" vertical="center" indent="1"/>
    </xf>
    <xf numFmtId="37" fontId="11" fillId="0" borderId="72" xfId="0" applyFont="1" applyBorder="1" applyAlignment="1">
      <alignment horizontal="left" vertical="center" indent="1"/>
    </xf>
    <xf numFmtId="37" fontId="81" fillId="0" borderId="72" xfId="0" applyFont="1" applyBorder="1" applyAlignment="1">
      <alignment horizontal="left" vertical="center" indent="1"/>
    </xf>
    <xf numFmtId="3" fontId="31" fillId="0" borderId="73" xfId="106" applyNumberFormat="1" applyFont="1" applyBorder="1" applyAlignment="1">
      <alignment horizontal="center" vertical="center"/>
    </xf>
    <xf numFmtId="37" fontId="31" fillId="0" borderId="58" xfId="0" applyFont="1" applyBorder="1" applyAlignment="1">
      <alignment vertical="center"/>
    </xf>
    <xf numFmtId="37" fontId="31" fillId="0" borderId="0" xfId="0" applyFont="1" applyBorder="1" applyAlignment="1">
      <alignment vertical="center"/>
    </xf>
    <xf numFmtId="37" fontId="31" fillId="0" borderId="0" xfId="0" applyFont="1" applyBorder="1" applyAlignment="1">
      <alignment horizontal="center" vertical="center"/>
    </xf>
    <xf numFmtId="37" fontId="31" fillId="0" borderId="59" xfId="0" applyFont="1" applyBorder="1" applyAlignment="1">
      <alignment horizontal="center" vertical="center"/>
    </xf>
    <xf numFmtId="37" fontId="31" fillId="6" borderId="74" xfId="0" applyFont="1" applyFill="1" applyBorder="1" applyAlignment="1">
      <alignment horizontal="left" vertical="center" indent="1"/>
    </xf>
    <xf numFmtId="37" fontId="30" fillId="6" borderId="75" xfId="0" applyFont="1" applyFill="1" applyBorder="1" applyAlignment="1">
      <alignment horizontal="center" vertical="center"/>
    </xf>
    <xf numFmtId="37" fontId="31" fillId="0" borderId="59" xfId="0" applyFont="1" applyBorder="1" applyAlignment="1">
      <alignment vertical="center"/>
    </xf>
    <xf numFmtId="37" fontId="31" fillId="6" borderId="76" xfId="0" applyFont="1" applyFill="1" applyBorder="1" applyAlignment="1">
      <alignment horizontal="left" vertical="center" indent="1"/>
    </xf>
    <xf numFmtId="10" fontId="31" fillId="6" borderId="77" xfId="86" applyNumberFormat="1" applyFont="1" applyFill="1" applyBorder="1" applyAlignment="1">
      <alignment horizontal="right" vertical="center"/>
    </xf>
    <xf numFmtId="37" fontId="36" fillId="0" borderId="78" xfId="0" applyFont="1" applyBorder="1" applyAlignment="1">
      <alignment horizontal="left" vertical="center" indent="1"/>
    </xf>
    <xf numFmtId="10" fontId="11" fillId="0" borderId="79" xfId="86" applyNumberFormat="1" applyFont="1" applyBorder="1" applyAlignment="1">
      <alignment horizontal="right" vertical="center"/>
    </xf>
    <xf numFmtId="37" fontId="36" fillId="0" borderId="80" xfId="0" applyFont="1" applyBorder="1" applyAlignment="1">
      <alignment horizontal="left" vertical="center" indent="1"/>
    </xf>
    <xf numFmtId="10" fontId="11" fillId="0" borderId="73" xfId="86" applyNumberFormat="1" applyFont="1" applyBorder="1" applyAlignment="1">
      <alignment horizontal="right" vertical="center"/>
    </xf>
    <xf numFmtId="37" fontId="36" fillId="0" borderId="80" xfId="0" applyFont="1" applyBorder="1" applyAlignment="1" quotePrefix="1">
      <alignment horizontal="left" vertical="center" indent="1"/>
    </xf>
    <xf numFmtId="37" fontId="36" fillId="0" borderId="81" xfId="0" applyFont="1" applyBorder="1" applyAlignment="1" quotePrefix="1">
      <alignment horizontal="left" vertical="center" indent="1"/>
    </xf>
    <xf numFmtId="10" fontId="11" fillId="0" borderId="75" xfId="86" applyNumberFormat="1" applyFont="1" applyBorder="1" applyAlignment="1">
      <alignment horizontal="right" vertical="center"/>
    </xf>
    <xf numFmtId="37" fontId="31" fillId="0" borderId="59" xfId="0" applyFont="1" applyBorder="1" applyAlignment="1">
      <alignment horizontal="right" vertical="center"/>
    </xf>
    <xf numFmtId="37" fontId="34" fillId="6" borderId="76" xfId="0" applyFont="1" applyFill="1" applyBorder="1" applyAlignment="1">
      <alignment horizontal="left" vertical="center" indent="1"/>
    </xf>
    <xf numFmtId="10" fontId="34" fillId="6" borderId="77" xfId="86" applyNumberFormat="1" applyFont="1" applyFill="1" applyBorder="1" applyAlignment="1">
      <alignment horizontal="right" vertical="center"/>
    </xf>
    <xf numFmtId="37" fontId="34" fillId="6" borderId="58" xfId="0" applyFont="1" applyFill="1" applyBorder="1" applyAlignment="1">
      <alignment horizontal="left" vertical="center" indent="1"/>
    </xf>
    <xf numFmtId="10" fontId="34" fillId="6" borderId="82" xfId="86" applyNumberFormat="1" applyFont="1" applyFill="1" applyBorder="1" applyAlignment="1">
      <alignment horizontal="right" vertical="center"/>
    </xf>
    <xf numFmtId="37" fontId="31" fillId="0" borderId="83" xfId="0" applyFont="1" applyBorder="1" applyAlignment="1">
      <alignment horizontal="right" vertical="center"/>
    </xf>
    <xf numFmtId="37" fontId="11" fillId="30" borderId="74" xfId="0" applyFont="1" applyFill="1" applyBorder="1" applyAlignment="1">
      <alignment horizontal="left" vertical="center" indent="1"/>
    </xf>
    <xf numFmtId="10" fontId="11" fillId="30" borderId="84" xfId="86" applyNumberFormat="1" applyFont="1" applyFill="1" applyBorder="1" applyAlignment="1">
      <alignment horizontal="right" vertical="center"/>
    </xf>
    <xf numFmtId="37" fontId="31" fillId="30" borderId="85" xfId="0" applyFont="1" applyFill="1" applyBorder="1" applyAlignment="1">
      <alignment horizontal="left" vertical="center" indent="1"/>
    </xf>
    <xf numFmtId="10" fontId="11" fillId="30" borderId="62" xfId="86" applyNumberFormat="1" applyFont="1" applyFill="1" applyBorder="1" applyAlignment="1">
      <alignment horizontal="right" vertical="center"/>
    </xf>
    <xf numFmtId="37" fontId="36" fillId="0" borderId="58" xfId="0" applyFont="1" applyBorder="1" applyAlignment="1">
      <alignment horizontal="left" vertical="center" indent="2"/>
    </xf>
    <xf numFmtId="9" fontId="11" fillId="0" borderId="0" xfId="86" applyFont="1" applyBorder="1" applyAlignment="1">
      <alignment horizontal="center" vertical="center"/>
    </xf>
    <xf numFmtId="37" fontId="11" fillId="0" borderId="0" xfId="0" applyFont="1" applyBorder="1" applyAlignment="1">
      <alignment vertical="center"/>
    </xf>
    <xf numFmtId="171" fontId="36" fillId="0" borderId="0" xfId="0" applyNumberFormat="1" applyFont="1" applyBorder="1" applyAlignment="1">
      <alignment horizontal="center" vertical="center"/>
    </xf>
    <xf numFmtId="10" fontId="11" fillId="0" borderId="59" xfId="86" applyNumberFormat="1" applyFont="1" applyBorder="1" applyAlignment="1">
      <alignment horizontal="center" vertical="center"/>
    </xf>
    <xf numFmtId="37" fontId="31" fillId="6" borderId="85" xfId="0" applyFont="1" applyFill="1" applyBorder="1" applyAlignment="1">
      <alignment horizontal="left" vertical="center" indent="1"/>
    </xf>
    <xf numFmtId="37" fontId="37" fillId="15" borderId="86" xfId="0" applyFont="1" applyFill="1" applyBorder="1" applyAlignment="1">
      <alignment horizontal="left" vertical="center" indent="1"/>
    </xf>
    <xf numFmtId="37" fontId="30" fillId="14" borderId="21" xfId="0" applyFont="1" applyFill="1" applyBorder="1" applyAlignment="1">
      <alignment horizontal="right" vertical="center" indent="1"/>
    </xf>
    <xf numFmtId="37" fontId="30" fillId="51" borderId="87" xfId="0" applyFont="1" applyFill="1" applyBorder="1" applyAlignment="1">
      <alignment vertical="center"/>
    </xf>
    <xf numFmtId="4" fontId="30" fillId="51" borderId="79" xfId="0" applyNumberFormat="1" applyFont="1" applyFill="1" applyBorder="1" applyAlignment="1">
      <alignment horizontal="right" vertical="center"/>
    </xf>
    <xf numFmtId="37" fontId="30" fillId="51" borderId="88" xfId="0" applyFont="1" applyFill="1" applyBorder="1" applyAlignment="1">
      <alignment vertical="center"/>
    </xf>
    <xf numFmtId="37" fontId="4" fillId="0" borderId="58" xfId="0" applyFont="1" applyBorder="1" applyAlignment="1">
      <alignment/>
    </xf>
    <xf numFmtId="37" fontId="30" fillId="19" borderId="87" xfId="0" applyFont="1" applyFill="1" applyBorder="1" applyAlignment="1">
      <alignment vertical="center"/>
    </xf>
    <xf numFmtId="4" fontId="30" fillId="19" borderId="79" xfId="0" applyNumberFormat="1" applyFont="1" applyFill="1" applyBorder="1" applyAlignment="1">
      <alignment horizontal="right" vertical="center"/>
    </xf>
    <xf numFmtId="37" fontId="30" fillId="19" borderId="89" xfId="0" applyFont="1" applyFill="1" applyBorder="1" applyAlignment="1">
      <alignment vertical="center"/>
    </xf>
    <xf numFmtId="37" fontId="30" fillId="19" borderId="90" xfId="0" applyFont="1" applyFill="1" applyBorder="1" applyAlignment="1">
      <alignment vertical="center"/>
    </xf>
    <xf numFmtId="4" fontId="30" fillId="19" borderId="91" xfId="0" applyNumberFormat="1" applyFont="1" applyFill="1" applyBorder="1" applyAlignment="1">
      <alignment horizontal="right" vertical="center"/>
    </xf>
    <xf numFmtId="37" fontId="30" fillId="0" borderId="92" xfId="0" applyFont="1" applyBorder="1" applyAlignment="1">
      <alignment vertical="center"/>
    </xf>
    <xf numFmtId="4" fontId="30" fillId="0" borderId="91" xfId="0" applyNumberFormat="1" applyFont="1" applyBorder="1" applyAlignment="1">
      <alignment horizontal="right" vertical="center"/>
    </xf>
    <xf numFmtId="37" fontId="30" fillId="0" borderId="90" xfId="0" applyFont="1" applyBorder="1" applyAlignment="1">
      <alignment vertical="center"/>
    </xf>
    <xf numFmtId="180" fontId="30" fillId="0" borderId="91" xfId="86" applyNumberFormat="1" applyFont="1" applyBorder="1" applyAlignment="1">
      <alignment horizontal="right" vertical="center"/>
    </xf>
    <xf numFmtId="0" fontId="82" fillId="49" borderId="0" xfId="0" applyNumberFormat="1" applyFont="1" applyFill="1" applyAlignment="1">
      <alignment/>
    </xf>
    <xf numFmtId="0" fontId="82" fillId="0" borderId="0" xfId="0" applyNumberFormat="1" applyFont="1" applyAlignment="1">
      <alignment/>
    </xf>
    <xf numFmtId="37" fontId="11" fillId="0" borderId="0" xfId="0" applyFont="1" applyBorder="1" applyAlignment="1">
      <alignment horizontal="center" vertical="center"/>
    </xf>
    <xf numFmtId="39" fontId="30" fillId="0" borderId="0" xfId="0" applyNumberFormat="1" applyFont="1" applyAlignment="1">
      <alignment horizontal="center" vertical="center"/>
    </xf>
    <xf numFmtId="37" fontId="30" fillId="0" borderId="77" xfId="0" applyFont="1" applyBorder="1" applyAlignment="1">
      <alignment horizontal="center" vertical="center" wrapText="1"/>
    </xf>
    <xf numFmtId="165" fontId="30" fillId="0" borderId="73" xfId="106" applyFont="1" applyBorder="1" applyAlignment="1">
      <alignment horizontal="right" vertical="center"/>
    </xf>
    <xf numFmtId="165" fontId="30" fillId="0" borderId="93" xfId="106" applyFont="1" applyBorder="1" applyAlignment="1">
      <alignment horizontal="right" vertical="center"/>
    </xf>
    <xf numFmtId="165" fontId="30" fillId="0" borderId="94" xfId="106" applyFont="1" applyBorder="1" applyAlignment="1">
      <alignment horizontal="right" vertical="center"/>
    </xf>
    <xf numFmtId="165" fontId="30" fillId="51" borderId="27" xfId="106" applyFont="1" applyFill="1" applyBorder="1" applyAlignment="1">
      <alignment horizontal="right" vertical="center"/>
    </xf>
    <xf numFmtId="165" fontId="30" fillId="51" borderId="27" xfId="106" applyFont="1" applyFill="1" applyBorder="1" applyAlignment="1">
      <alignment vertical="center"/>
    </xf>
    <xf numFmtId="165" fontId="30" fillId="51" borderId="95" xfId="106" applyFont="1" applyFill="1" applyBorder="1" applyAlignment="1">
      <alignment horizontal="right" vertical="center"/>
    </xf>
    <xf numFmtId="165" fontId="30" fillId="51" borderId="21" xfId="106" applyFont="1" applyFill="1" applyBorder="1" applyAlignment="1">
      <alignment horizontal="right" vertical="center"/>
    </xf>
    <xf numFmtId="165" fontId="30" fillId="51" borderId="21" xfId="106" applyFont="1" applyFill="1" applyBorder="1" applyAlignment="1">
      <alignment vertical="center"/>
    </xf>
    <xf numFmtId="165" fontId="30" fillId="51" borderId="93" xfId="106" applyFont="1" applyFill="1" applyBorder="1" applyAlignment="1">
      <alignment horizontal="right" vertical="center"/>
    </xf>
    <xf numFmtId="207" fontId="7" fillId="0" borderId="68" xfId="0" applyNumberFormat="1" applyFont="1" applyFill="1" applyBorder="1" applyAlignment="1">
      <alignment/>
    </xf>
    <xf numFmtId="37" fontId="0" fillId="51" borderId="96" xfId="0" applyFill="1" applyBorder="1" applyAlignment="1">
      <alignment horizontal="center"/>
    </xf>
    <xf numFmtId="37" fontId="31" fillId="51" borderId="66" xfId="0" applyNumberFormat="1" applyFont="1" applyFill="1" applyBorder="1" applyAlignment="1">
      <alignment horizontal="center" vertical="center"/>
    </xf>
    <xf numFmtId="169" fontId="11" fillId="0" borderId="24" xfId="106" applyNumberFormat="1" applyFont="1" applyBorder="1" applyAlignment="1">
      <alignment horizontal="left" vertical="center"/>
    </xf>
    <xf numFmtId="169" fontId="11" fillId="0" borderId="79" xfId="106" applyNumberFormat="1" applyFont="1" applyBorder="1" applyAlignment="1">
      <alignment horizontal="left" vertical="center"/>
    </xf>
    <xf numFmtId="169" fontId="11" fillId="0" borderId="21" xfId="106" applyNumberFormat="1" applyFont="1" applyBorder="1" applyAlignment="1">
      <alignment horizontal="left" vertical="center"/>
    </xf>
    <xf numFmtId="169" fontId="11" fillId="0" borderId="73" xfId="106" applyNumberFormat="1" applyFont="1" applyBorder="1" applyAlignment="1">
      <alignment horizontal="left" vertical="center"/>
    </xf>
    <xf numFmtId="169" fontId="11" fillId="0" borderId="44" xfId="106" applyNumberFormat="1" applyFont="1" applyBorder="1" applyAlignment="1">
      <alignment horizontal="left" vertical="center"/>
    </xf>
    <xf numFmtId="169" fontId="11" fillId="0" borderId="75" xfId="106" applyNumberFormat="1" applyFont="1" applyBorder="1" applyAlignment="1">
      <alignment horizontal="left" vertical="center"/>
    </xf>
    <xf numFmtId="169" fontId="30" fillId="0" borderId="97" xfId="0" applyNumberFormat="1" applyFont="1" applyBorder="1" applyAlignment="1">
      <alignment horizontal="left" vertical="center"/>
    </xf>
    <xf numFmtId="169" fontId="30" fillId="0" borderId="84" xfId="0" applyNumberFormat="1" applyFont="1" applyBorder="1" applyAlignment="1">
      <alignment horizontal="left" vertical="center"/>
    </xf>
    <xf numFmtId="169" fontId="30" fillId="0" borderId="44" xfId="0" applyNumberFormat="1" applyFont="1" applyBorder="1" applyAlignment="1">
      <alignment horizontal="left" vertical="center"/>
    </xf>
    <xf numFmtId="169" fontId="30" fillId="0" borderId="75" xfId="0" applyNumberFormat="1" applyFont="1" applyBorder="1" applyAlignment="1">
      <alignment horizontal="left" vertical="center"/>
    </xf>
    <xf numFmtId="37" fontId="36" fillId="52" borderId="20" xfId="0" applyFont="1" applyFill="1" applyBorder="1" applyAlignment="1">
      <alignment horizontal="center" vertical="center"/>
    </xf>
    <xf numFmtId="181" fontId="0" fillId="49" borderId="0" xfId="0" applyNumberFormat="1" applyFill="1" applyBorder="1" applyAlignment="1">
      <alignment/>
    </xf>
    <xf numFmtId="169" fontId="11" fillId="53" borderId="37" xfId="106" applyNumberFormat="1" applyFont="1" applyFill="1" applyBorder="1" applyAlignment="1">
      <alignment horizontal="right" vertical="center"/>
    </xf>
    <xf numFmtId="169" fontId="11" fillId="53" borderId="21" xfId="106" applyNumberFormat="1" applyFont="1" applyFill="1" applyBorder="1" applyAlignment="1">
      <alignment horizontal="right" vertical="center"/>
    </xf>
    <xf numFmtId="169" fontId="11" fillId="53" borderId="38" xfId="106" applyNumberFormat="1" applyFont="1" applyFill="1" applyBorder="1" applyAlignment="1">
      <alignment horizontal="right" vertical="center"/>
    </xf>
    <xf numFmtId="169" fontId="11" fillId="53" borderId="19" xfId="106" applyNumberFormat="1" applyFont="1" applyFill="1" applyBorder="1" applyAlignment="1">
      <alignment horizontal="right" vertical="center"/>
    </xf>
    <xf numFmtId="198" fontId="11" fillId="53" borderId="40" xfId="106" applyNumberFormat="1" applyFont="1" applyFill="1" applyBorder="1" applyAlignment="1">
      <alignment horizontal="right" vertical="center"/>
    </xf>
    <xf numFmtId="37" fontId="36" fillId="52" borderId="98" xfId="0" applyFont="1" applyFill="1" applyBorder="1" applyAlignment="1">
      <alignment horizontal="center" vertical="center"/>
    </xf>
    <xf numFmtId="37" fontId="36" fillId="52" borderId="38" xfId="0" applyFont="1" applyFill="1" applyBorder="1" applyAlignment="1">
      <alignment horizontal="center" vertical="center"/>
    </xf>
    <xf numFmtId="37" fontId="32" fillId="0" borderId="99" xfId="0" applyFont="1" applyBorder="1" applyAlignment="1">
      <alignment horizontal="center" vertical="center"/>
    </xf>
    <xf numFmtId="37" fontId="32" fillId="0" borderId="89" xfId="0" applyFont="1" applyBorder="1" applyAlignment="1">
      <alignment horizontal="center" vertical="center"/>
    </xf>
    <xf numFmtId="37" fontId="32" fillId="0" borderId="100" xfId="0" applyFont="1" applyBorder="1" applyAlignment="1">
      <alignment horizontal="center" vertical="center"/>
    </xf>
    <xf numFmtId="173" fontId="30" fillId="0" borderId="87" xfId="0" applyNumberFormat="1" applyFont="1" applyBorder="1" applyAlignment="1">
      <alignment vertical="center"/>
    </xf>
    <xf numFmtId="165" fontId="34" fillId="0" borderId="0" xfId="106" applyFont="1" applyBorder="1" applyAlignment="1">
      <alignment vertical="center"/>
    </xf>
    <xf numFmtId="37" fontId="30" fillId="0" borderId="89" xfId="0" applyFont="1" applyBorder="1" applyAlignment="1">
      <alignment vertical="center"/>
    </xf>
    <xf numFmtId="37" fontId="30" fillId="0" borderId="100" xfId="0" applyFont="1" applyBorder="1" applyAlignment="1">
      <alignment vertical="center"/>
    </xf>
    <xf numFmtId="37" fontId="30" fillId="0" borderId="87" xfId="0" applyFont="1" applyBorder="1" applyAlignment="1">
      <alignment vertical="center"/>
    </xf>
    <xf numFmtId="37" fontId="30" fillId="0" borderId="101" xfId="0" applyFont="1" applyBorder="1" applyAlignment="1">
      <alignment vertical="center"/>
    </xf>
    <xf numFmtId="37" fontId="30" fillId="0" borderId="89" xfId="0" applyFont="1" applyBorder="1" applyAlignment="1" quotePrefix="1">
      <alignment vertical="center"/>
    </xf>
    <xf numFmtId="37" fontId="11" fillId="0" borderId="96" xfId="0" applyFont="1" applyFill="1" applyBorder="1" applyAlignment="1">
      <alignment vertical="center"/>
    </xf>
    <xf numFmtId="168" fontId="11" fillId="0" borderId="64" xfId="0" applyNumberFormat="1" applyFont="1" applyFill="1" applyBorder="1" applyAlignment="1">
      <alignment vertical="center"/>
    </xf>
    <xf numFmtId="37" fontId="30" fillId="0" borderId="88" xfId="0" applyFont="1" applyBorder="1" applyAlignment="1">
      <alignment vertical="center"/>
    </xf>
    <xf numFmtId="37" fontId="34" fillId="51" borderId="60" xfId="0" applyFont="1" applyFill="1" applyBorder="1" applyAlignment="1">
      <alignment vertical="center"/>
    </xf>
    <xf numFmtId="177" fontId="83" fillId="51" borderId="61" xfId="106" applyNumberFormat="1" applyFont="1" applyFill="1" applyBorder="1" applyAlignment="1">
      <alignment horizontal="right" vertical="center"/>
    </xf>
    <xf numFmtId="173" fontId="30" fillId="0" borderId="102" xfId="0" applyNumberFormat="1" applyFont="1" applyBorder="1" applyAlignment="1">
      <alignment vertical="center"/>
    </xf>
    <xf numFmtId="37" fontId="30" fillId="0" borderId="67" xfId="0" applyFont="1" applyBorder="1" applyAlignment="1">
      <alignment vertical="center"/>
    </xf>
    <xf numFmtId="37" fontId="30" fillId="0" borderId="103" xfId="0" applyFont="1" applyBorder="1" applyAlignment="1">
      <alignment vertical="center"/>
    </xf>
    <xf numFmtId="4" fontId="11" fillId="49" borderId="79" xfId="106" applyNumberFormat="1" applyFont="1" applyFill="1" applyBorder="1" applyAlignment="1">
      <alignment horizontal="center" vertical="center"/>
    </xf>
    <xf numFmtId="4" fontId="11" fillId="0" borderId="79" xfId="106" applyNumberFormat="1" applyFont="1" applyBorder="1" applyAlignment="1">
      <alignment horizontal="center" vertical="center"/>
    </xf>
    <xf numFmtId="4" fontId="11" fillId="0" borderId="73" xfId="106" applyNumberFormat="1" applyFont="1" applyBorder="1" applyAlignment="1">
      <alignment horizontal="center" vertical="center"/>
    </xf>
    <xf numFmtId="202" fontId="11" fillId="0" borderId="62" xfId="106" applyNumberFormat="1" applyFont="1" applyBorder="1" applyAlignment="1">
      <alignment horizontal="center" vertical="center"/>
    </xf>
    <xf numFmtId="3" fontId="11" fillId="0" borderId="104" xfId="0" applyNumberFormat="1" applyFont="1" applyBorder="1" applyAlignment="1">
      <alignment horizontal="center" vertical="center"/>
    </xf>
    <xf numFmtId="4" fontId="11" fillId="0" borderId="79" xfId="0" applyNumberFormat="1" applyFont="1" applyBorder="1" applyAlignment="1">
      <alignment horizontal="center" vertical="center"/>
    </xf>
    <xf numFmtId="4" fontId="11" fillId="0" borderId="73" xfId="0" applyNumberFormat="1" applyFont="1" applyBorder="1" applyAlignment="1">
      <alignment horizontal="center" vertical="center"/>
    </xf>
    <xf numFmtId="3" fontId="11" fillId="0" borderId="75" xfId="0" applyNumberFormat="1" applyFont="1" applyBorder="1" applyAlignment="1">
      <alignment horizontal="center" vertical="center"/>
    </xf>
    <xf numFmtId="39" fontId="0" fillId="0" borderId="105" xfId="0" applyNumberFormat="1" applyBorder="1" applyAlignment="1">
      <alignment horizontal="center"/>
    </xf>
    <xf numFmtId="186" fontId="0" fillId="0" borderId="68" xfId="0" applyNumberFormat="1" applyBorder="1" applyAlignment="1">
      <alignment horizontal="center"/>
    </xf>
    <xf numFmtId="4" fontId="11" fillId="0" borderId="106" xfId="106" applyNumberFormat="1" applyFont="1" applyBorder="1" applyAlignment="1">
      <alignment horizontal="center" vertical="center"/>
    </xf>
    <xf numFmtId="4" fontId="11" fillId="0" borderId="62" xfId="106" applyNumberFormat="1" applyFont="1" applyBorder="1" applyAlignment="1">
      <alignment horizontal="center" vertical="center"/>
    </xf>
    <xf numFmtId="165" fontId="11" fillId="53" borderId="24" xfId="106" applyNumberFormat="1" applyFont="1" applyFill="1" applyBorder="1" applyAlignment="1">
      <alignment horizontal="right" vertical="center"/>
    </xf>
    <xf numFmtId="197" fontId="11" fillId="53" borderId="24" xfId="106" applyNumberFormat="1" applyFont="1" applyFill="1" applyBorder="1" applyAlignment="1">
      <alignment horizontal="right" vertical="center"/>
    </xf>
    <xf numFmtId="39" fontId="30" fillId="0" borderId="107" xfId="0" applyNumberFormat="1" applyFont="1" applyBorder="1" applyAlignment="1">
      <alignment vertical="center"/>
    </xf>
    <xf numFmtId="37" fontId="30" fillId="19" borderId="73" xfId="0" applyFont="1" applyFill="1" applyBorder="1" applyAlignment="1">
      <alignment vertical="center"/>
    </xf>
    <xf numFmtId="39" fontId="30" fillId="19" borderId="73" xfId="0" applyNumberFormat="1" applyFont="1" applyFill="1" applyBorder="1" applyAlignment="1">
      <alignment vertical="center"/>
    </xf>
    <xf numFmtId="39" fontId="30" fillId="19" borderId="94" xfId="0" applyNumberFormat="1" applyFont="1" applyFill="1" applyBorder="1" applyAlignment="1">
      <alignment vertical="center"/>
    </xf>
    <xf numFmtId="37" fontId="36" fillId="0" borderId="78" xfId="0" applyFont="1" applyFill="1" applyBorder="1" applyAlignment="1">
      <alignment horizontal="left" vertical="center" indent="1"/>
    </xf>
    <xf numFmtId="171" fontId="32" fillId="0" borderId="26" xfId="0" applyNumberFormat="1" applyFont="1" applyFill="1" applyBorder="1" applyAlignment="1">
      <alignment vertical="center"/>
    </xf>
    <xf numFmtId="171" fontId="30" fillId="0" borderId="24" xfId="0" applyNumberFormat="1" applyFont="1" applyFill="1" applyBorder="1" applyAlignment="1">
      <alignment horizontal="center" vertical="center"/>
    </xf>
    <xf numFmtId="171" fontId="11" fillId="0" borderId="37" xfId="0" applyNumberFormat="1" applyFont="1" applyFill="1" applyBorder="1" applyAlignment="1">
      <alignment horizontal="center" vertical="center"/>
    </xf>
    <xf numFmtId="171" fontId="32" fillId="0" borderId="42" xfId="0" applyNumberFormat="1" applyFont="1" applyFill="1" applyBorder="1" applyAlignment="1">
      <alignment horizontal="center" vertical="center"/>
    </xf>
    <xf numFmtId="171" fontId="32" fillId="0" borderId="26" xfId="0" applyNumberFormat="1" applyFont="1" applyFill="1" applyBorder="1" applyAlignment="1">
      <alignment horizontal="center" vertical="center"/>
    </xf>
    <xf numFmtId="171" fontId="11" fillId="0" borderId="42" xfId="0" applyNumberFormat="1" applyFont="1" applyFill="1" applyBorder="1" applyAlignment="1">
      <alignment horizontal="center" vertical="center"/>
    </xf>
    <xf numFmtId="10" fontId="11" fillId="0" borderId="79" xfId="86" applyNumberFormat="1" applyFont="1" applyFill="1" applyBorder="1" applyAlignment="1">
      <alignment horizontal="right" vertical="center"/>
    </xf>
    <xf numFmtId="171" fontId="31" fillId="0" borderId="0" xfId="106" applyNumberFormat="1" applyFont="1" applyFill="1" applyAlignment="1">
      <alignment/>
    </xf>
    <xf numFmtId="37" fontId="9" fillId="0" borderId="0" xfId="0" applyFont="1" applyFill="1" applyAlignment="1">
      <alignment/>
    </xf>
    <xf numFmtId="176" fontId="9" fillId="0" borderId="0" xfId="0" applyNumberFormat="1" applyFont="1" applyFill="1" applyAlignment="1">
      <alignment/>
    </xf>
    <xf numFmtId="37" fontId="31" fillId="0" borderId="0" xfId="0" applyFont="1" applyFill="1" applyAlignment="1">
      <alignment/>
    </xf>
    <xf numFmtId="176" fontId="39" fillId="0" borderId="0" xfId="0" applyNumberFormat="1" applyFont="1" applyAlignment="1">
      <alignment horizontal="center"/>
    </xf>
    <xf numFmtId="10" fontId="14" fillId="0" borderId="0" xfId="86" applyNumberFormat="1" applyFont="1" applyAlignment="1">
      <alignment horizontal="center"/>
    </xf>
    <xf numFmtId="37" fontId="14" fillId="52" borderId="0" xfId="0" applyFont="1" applyFill="1" applyAlignment="1">
      <alignment horizontal="center"/>
    </xf>
    <xf numFmtId="37" fontId="34" fillId="6" borderId="0" xfId="0" applyFont="1" applyFill="1" applyAlignment="1">
      <alignment horizontal="left" vertical="center" indent="1"/>
    </xf>
    <xf numFmtId="37" fontId="36" fillId="0" borderId="108" xfId="0" applyFont="1" applyBorder="1" applyAlignment="1">
      <alignment horizontal="left" vertical="center" indent="1"/>
    </xf>
    <xf numFmtId="10" fontId="14" fillId="0" borderId="108" xfId="86" applyNumberFormat="1" applyFont="1" applyBorder="1" applyAlignment="1">
      <alignment horizontal="center"/>
    </xf>
    <xf numFmtId="176" fontId="14" fillId="0" borderId="108" xfId="0" applyNumberFormat="1" applyFont="1" applyBorder="1" applyAlignment="1">
      <alignment horizontal="center"/>
    </xf>
    <xf numFmtId="178" fontId="14" fillId="0" borderId="108" xfId="77" applyNumberFormat="1" applyFont="1" applyBorder="1" applyAlignment="1">
      <alignment/>
    </xf>
    <xf numFmtId="37" fontId="36" fillId="0" borderId="108" xfId="0" applyFont="1" applyBorder="1" applyAlignment="1" quotePrefix="1">
      <alignment horizontal="left" vertical="center" indent="1"/>
    </xf>
    <xf numFmtId="37" fontId="38" fillId="2" borderId="0" xfId="0" applyFont="1" applyFill="1" applyAlignment="1">
      <alignment vertical="center"/>
    </xf>
    <xf numFmtId="10" fontId="14" fillId="2" borderId="108" xfId="86" applyNumberFormat="1" applyFont="1" applyFill="1" applyBorder="1" applyAlignment="1">
      <alignment horizontal="center"/>
    </xf>
    <xf numFmtId="176" fontId="14" fillId="2" borderId="108" xfId="0" applyNumberFormat="1" applyFont="1" applyFill="1" applyBorder="1" applyAlignment="1">
      <alignment horizontal="center"/>
    </xf>
    <xf numFmtId="178" fontId="14" fillId="2" borderId="108" xfId="77" applyNumberFormat="1" applyFont="1" applyFill="1" applyBorder="1" applyAlignment="1">
      <alignment/>
    </xf>
    <xf numFmtId="176" fontId="14" fillId="0" borderId="0" xfId="0" applyNumberFormat="1" applyFont="1" applyAlignment="1">
      <alignment horizontal="center"/>
    </xf>
    <xf numFmtId="178" fontId="14" fillId="0" borderId="0" xfId="77" applyNumberFormat="1" applyFont="1" applyAlignment="1">
      <alignment/>
    </xf>
    <xf numFmtId="37" fontId="14" fillId="0" borderId="0" xfId="0" applyFont="1" applyAlignment="1">
      <alignment/>
    </xf>
    <xf numFmtId="37" fontId="29" fillId="0" borderId="0" xfId="0" applyFont="1" applyAlignment="1">
      <alignment/>
    </xf>
    <xf numFmtId="37" fontId="36" fillId="0" borderId="109" xfId="0" applyFont="1" applyBorder="1" applyAlignment="1">
      <alignment horizontal="left" vertical="center" indent="1"/>
    </xf>
    <xf numFmtId="10" fontId="14" fillId="0" borderId="109" xfId="86" applyNumberFormat="1" applyFont="1" applyBorder="1" applyAlignment="1">
      <alignment horizontal="center"/>
    </xf>
    <xf numFmtId="176" fontId="14" fillId="0" borderId="109" xfId="0" applyNumberFormat="1" applyFont="1" applyBorder="1" applyAlignment="1">
      <alignment horizontal="center"/>
    </xf>
    <xf numFmtId="178" fontId="14" fillId="0" borderId="109" xfId="77" applyNumberFormat="1" applyFont="1" applyBorder="1" applyAlignment="1">
      <alignment/>
    </xf>
    <xf numFmtId="37" fontId="36" fillId="0" borderId="109" xfId="0" applyFont="1" applyBorder="1" applyAlignment="1" quotePrefix="1">
      <alignment horizontal="left" vertical="center" indent="1"/>
    </xf>
    <xf numFmtId="178" fontId="39" fillId="0" borderId="0" xfId="77" applyNumberFormat="1" applyFont="1" applyAlignment="1">
      <alignment horizontal="center"/>
    </xf>
    <xf numFmtId="37" fontId="11" fillId="30" borderId="109" xfId="0" applyFont="1" applyFill="1" applyBorder="1" applyAlignment="1">
      <alignment horizontal="left" vertical="center" indent="1"/>
    </xf>
    <xf numFmtId="37" fontId="31" fillId="30" borderId="109" xfId="0" applyFont="1" applyFill="1" applyBorder="1" applyAlignment="1">
      <alignment horizontal="left" vertical="center" indent="1"/>
    </xf>
    <xf numFmtId="37" fontId="36" fillId="0" borderId="0" xfId="0" applyFont="1" applyAlignment="1">
      <alignment horizontal="left" vertical="center" indent="2"/>
    </xf>
    <xf numFmtId="37" fontId="15" fillId="0" borderId="0" xfId="0" applyFont="1" applyAlignment="1">
      <alignment horizontal="center"/>
    </xf>
    <xf numFmtId="178" fontId="14" fillId="0" borderId="0" xfId="0" applyNumberFormat="1" applyFont="1" applyAlignment="1">
      <alignment horizontal="center"/>
    </xf>
    <xf numFmtId="214" fontId="41" fillId="15" borderId="66" xfId="77" applyNumberFormat="1" applyFont="1" applyFill="1" applyBorder="1" applyAlignment="1">
      <alignment vertical="center"/>
    </xf>
    <xf numFmtId="176" fontId="39" fillId="0" borderId="110" xfId="0" applyNumberFormat="1" applyFont="1" applyBorder="1" applyAlignment="1">
      <alignment horizontal="center"/>
    </xf>
    <xf numFmtId="10" fontId="14" fillId="0" borderId="110" xfId="86" applyNumberFormat="1" applyFont="1" applyBorder="1" applyAlignment="1">
      <alignment horizontal="center"/>
    </xf>
    <xf numFmtId="176" fontId="14" fillId="13" borderId="110" xfId="0" applyNumberFormat="1" applyFont="1" applyFill="1" applyBorder="1" applyAlignment="1">
      <alignment horizontal="center"/>
    </xf>
    <xf numFmtId="37" fontId="14" fillId="13" borderId="111" xfId="0" applyFont="1" applyFill="1" applyBorder="1" applyAlignment="1">
      <alignment horizontal="center"/>
    </xf>
    <xf numFmtId="207" fontId="39" fillId="0" borderId="108" xfId="0" applyNumberFormat="1" applyFont="1" applyBorder="1" applyAlignment="1">
      <alignment horizontal="center"/>
    </xf>
    <xf numFmtId="207" fontId="39" fillId="2" borderId="108" xfId="0" applyNumberFormat="1" applyFont="1" applyFill="1" applyBorder="1" applyAlignment="1">
      <alignment horizontal="center"/>
    </xf>
    <xf numFmtId="207" fontId="39" fillId="0" borderId="109" xfId="0" applyNumberFormat="1" applyFont="1" applyBorder="1" applyAlignment="1">
      <alignment horizontal="center"/>
    </xf>
    <xf numFmtId="37" fontId="36" fillId="0" borderId="112" xfId="0" applyFont="1" applyBorder="1" applyAlignment="1">
      <alignment horizontal="center" vertical="center"/>
    </xf>
    <xf numFmtId="3" fontId="31" fillId="0" borderId="52" xfId="106" applyNumberFormat="1" applyFont="1" applyBorder="1" applyAlignment="1">
      <alignment vertical="center"/>
    </xf>
    <xf numFmtId="3" fontId="31" fillId="0" borderId="113" xfId="106" applyNumberFormat="1" applyFont="1" applyBorder="1" applyAlignment="1">
      <alignment vertical="center"/>
    </xf>
    <xf numFmtId="37" fontId="38" fillId="0" borderId="65" xfId="0" applyFont="1" applyBorder="1" applyAlignment="1">
      <alignment horizontal="center" vertical="center"/>
    </xf>
    <xf numFmtId="183" fontId="44" fillId="0" borderId="66" xfId="0" applyNumberFormat="1" applyFont="1" applyBorder="1" applyAlignment="1">
      <alignment horizontal="center" vertical="center"/>
    </xf>
    <xf numFmtId="9" fontId="29" fillId="0" borderId="114" xfId="86" applyFont="1" applyBorder="1" applyAlignment="1">
      <alignment horizontal="center" vertical="center"/>
    </xf>
    <xf numFmtId="178" fontId="29" fillId="0" borderId="114" xfId="0" applyNumberFormat="1" applyFont="1" applyBorder="1" applyAlignment="1">
      <alignment horizontal="center" vertical="center"/>
    </xf>
    <xf numFmtId="178" fontId="29" fillId="0" borderId="114" xfId="77" applyNumberFormat="1" applyFont="1" applyBorder="1" applyAlignment="1">
      <alignment horizontal="center" vertical="center"/>
    </xf>
    <xf numFmtId="37" fontId="4" fillId="0" borderId="32" xfId="0" applyFont="1" applyBorder="1" applyAlignment="1">
      <alignment/>
    </xf>
    <xf numFmtId="0" fontId="30" fillId="0" borderId="78" xfId="0" applyNumberFormat="1" applyFont="1" applyBorder="1" applyAlignment="1">
      <alignment horizontal="center" vertical="center"/>
    </xf>
    <xf numFmtId="37" fontId="33" fillId="0" borderId="79" xfId="0" applyFont="1" applyBorder="1" applyAlignment="1">
      <alignment horizontal="right" vertical="center" indent="1"/>
    </xf>
    <xf numFmtId="0" fontId="30" fillId="0" borderId="78" xfId="0" applyNumberFormat="1" applyFont="1" applyFill="1" applyBorder="1" applyAlignment="1">
      <alignment horizontal="center" vertical="center"/>
    </xf>
    <xf numFmtId="37" fontId="33" fillId="0" borderId="79" xfId="0" applyFont="1" applyFill="1" applyBorder="1" applyAlignment="1">
      <alignment horizontal="right" vertical="center" indent="1"/>
    </xf>
    <xf numFmtId="37" fontId="30" fillId="0" borderId="58" xfId="0" applyFont="1" applyBorder="1" applyAlignment="1">
      <alignment horizontal="center" vertical="center"/>
    </xf>
    <xf numFmtId="37" fontId="33" fillId="0" borderId="82" xfId="0" applyFont="1" applyBorder="1" applyAlignment="1">
      <alignment horizontal="right" vertical="center" indent="1"/>
    </xf>
    <xf numFmtId="37" fontId="4" fillId="0" borderId="76" xfId="0" applyFont="1" applyBorder="1" applyAlignment="1">
      <alignment/>
    </xf>
    <xf numFmtId="37" fontId="4" fillId="0" borderId="83" xfId="0" applyFont="1" applyBorder="1" applyAlignment="1">
      <alignment/>
    </xf>
    <xf numFmtId="37" fontId="4" fillId="0" borderId="0" xfId="0" applyFont="1" applyBorder="1" applyAlignment="1">
      <alignment horizontal="center" vertical="center"/>
    </xf>
    <xf numFmtId="37" fontId="4" fillId="0" borderId="59" xfId="0" applyFont="1" applyBorder="1" applyAlignment="1">
      <alignment horizontal="center" vertical="center"/>
    </xf>
    <xf numFmtId="37" fontId="30" fillId="15" borderId="115" xfId="0" applyFont="1" applyFill="1" applyBorder="1" applyAlignment="1">
      <alignment horizontal="center" vertical="center"/>
    </xf>
    <xf numFmtId="37" fontId="33" fillId="15" borderId="104" xfId="0" applyFont="1" applyFill="1" applyBorder="1" applyAlignment="1">
      <alignment horizontal="right" vertical="center" indent="1"/>
    </xf>
    <xf numFmtId="37" fontId="30" fillId="0" borderId="58" xfId="0" applyFont="1" applyBorder="1" applyAlignment="1">
      <alignment vertical="center"/>
    </xf>
    <xf numFmtId="37" fontId="33" fillId="0" borderId="0" xfId="0" applyFont="1" applyBorder="1" applyAlignment="1">
      <alignment horizontal="right" vertical="center" indent="1"/>
    </xf>
    <xf numFmtId="37" fontId="33" fillId="0" borderId="59" xfId="0" applyFont="1" applyBorder="1" applyAlignment="1">
      <alignment horizontal="right" vertical="center" indent="1"/>
    </xf>
    <xf numFmtId="0" fontId="30" fillId="51" borderId="115" xfId="0" applyNumberFormat="1" applyFont="1" applyFill="1" applyBorder="1" applyAlignment="1">
      <alignment horizontal="center" vertical="center"/>
    </xf>
    <xf numFmtId="39" fontId="11" fillId="51" borderId="116" xfId="0" applyNumberFormat="1" applyFont="1" applyFill="1" applyBorder="1" applyAlignment="1">
      <alignment horizontal="right" vertical="center" indent="1"/>
    </xf>
    <xf numFmtId="10" fontId="7" fillId="0" borderId="116" xfId="86" applyNumberFormat="1" applyFont="1" applyBorder="1" applyAlignment="1">
      <alignment horizontal="center" vertical="center"/>
    </xf>
    <xf numFmtId="37" fontId="7" fillId="0" borderId="63" xfId="0" applyFont="1" applyBorder="1" applyAlignment="1">
      <alignment/>
    </xf>
    <xf numFmtId="37" fontId="7" fillId="0" borderId="64" xfId="0" applyFont="1" applyBorder="1" applyAlignment="1">
      <alignment/>
    </xf>
    <xf numFmtId="37" fontId="45" fillId="0" borderId="64" xfId="0" applyFont="1" applyBorder="1" applyAlignment="1">
      <alignment/>
    </xf>
    <xf numFmtId="37" fontId="7" fillId="0" borderId="117" xfId="0" applyFont="1" applyBorder="1" applyAlignment="1">
      <alignment/>
    </xf>
    <xf numFmtId="37" fontId="30" fillId="49" borderId="21" xfId="0" applyFont="1" applyFill="1" applyBorder="1" applyAlignment="1">
      <alignment horizontal="right" vertical="center" indent="1"/>
    </xf>
    <xf numFmtId="37" fontId="33" fillId="0" borderId="65" xfId="0" applyFont="1" applyBorder="1" applyAlignment="1">
      <alignment horizontal="center" vertical="center"/>
    </xf>
    <xf numFmtId="37" fontId="33" fillId="0" borderId="118" xfId="0" applyFont="1" applyBorder="1" applyAlignment="1">
      <alignment horizontal="center" vertical="center"/>
    </xf>
    <xf numFmtId="37" fontId="33" fillId="0" borderId="119" xfId="0" applyFont="1" applyBorder="1" applyAlignment="1">
      <alignment horizontal="center" vertical="center"/>
    </xf>
    <xf numFmtId="37" fontId="33" fillId="0" borderId="61" xfId="0" applyFont="1" applyBorder="1" applyAlignment="1">
      <alignment horizontal="center" vertical="center"/>
    </xf>
    <xf numFmtId="37" fontId="38" fillId="0" borderId="0" xfId="0" applyFont="1" applyAlignment="1">
      <alignment horizontal="center" vertical="center"/>
    </xf>
    <xf numFmtId="37" fontId="37" fillId="51" borderId="120" xfId="0" applyFont="1" applyFill="1" applyBorder="1" applyAlignment="1">
      <alignment horizontal="center" vertical="center" wrapText="1"/>
    </xf>
    <xf numFmtId="37" fontId="37" fillId="51" borderId="121" xfId="0" applyFont="1" applyFill="1" applyBorder="1" applyAlignment="1">
      <alignment horizontal="center" vertical="center" wrapText="1"/>
    </xf>
    <xf numFmtId="37" fontId="37" fillId="51" borderId="58" xfId="0" applyFont="1" applyFill="1" applyBorder="1" applyAlignment="1">
      <alignment horizontal="center" vertical="center" wrapText="1"/>
    </xf>
    <xf numFmtId="37" fontId="37" fillId="51" borderId="59" xfId="0" applyFont="1" applyFill="1" applyBorder="1" applyAlignment="1">
      <alignment horizontal="center" vertical="center" wrapText="1"/>
    </xf>
    <xf numFmtId="37" fontId="33" fillId="51" borderId="120" xfId="0" applyFont="1" applyFill="1" applyBorder="1" applyAlignment="1">
      <alignment horizontal="center" vertical="center" wrapText="1"/>
    </xf>
    <xf numFmtId="37" fontId="33" fillId="51" borderId="121" xfId="0" applyFont="1" applyFill="1" applyBorder="1" applyAlignment="1">
      <alignment horizontal="center" vertical="center" wrapText="1"/>
    </xf>
    <xf numFmtId="37" fontId="11" fillId="51" borderId="65" xfId="0" applyFont="1" applyFill="1" applyBorder="1" applyAlignment="1">
      <alignment horizontal="left" vertical="center"/>
    </xf>
    <xf numFmtId="37" fontId="11" fillId="51" borderId="122" xfId="0" applyFont="1" applyFill="1" applyBorder="1" applyAlignment="1">
      <alignment horizontal="left" vertical="center"/>
    </xf>
    <xf numFmtId="37" fontId="34" fillId="51" borderId="65" xfId="0" applyFont="1" applyFill="1" applyBorder="1" applyAlignment="1">
      <alignment horizontal="center" vertical="center"/>
    </xf>
    <xf numFmtId="37" fontId="34" fillId="51" borderId="66" xfId="0" applyFont="1" applyFill="1" applyBorder="1" applyAlignment="1">
      <alignment horizontal="center" vertical="center"/>
    </xf>
    <xf numFmtId="37" fontId="38" fillId="54" borderId="123" xfId="0" applyFont="1" applyFill="1" applyBorder="1" applyAlignment="1">
      <alignment horizontal="center" vertical="center"/>
    </xf>
    <xf numFmtId="37" fontId="38" fillId="54" borderId="124" xfId="0" applyFont="1" applyFill="1" applyBorder="1" applyAlignment="1">
      <alignment horizontal="center" vertical="center"/>
    </xf>
    <xf numFmtId="37" fontId="38" fillId="54" borderId="125" xfId="0" applyFont="1" applyFill="1" applyBorder="1" applyAlignment="1">
      <alignment horizontal="center" vertical="center"/>
    </xf>
    <xf numFmtId="37" fontId="31" fillId="54" borderId="120" xfId="0" applyFont="1" applyFill="1" applyBorder="1" applyAlignment="1">
      <alignment horizontal="center" vertical="center"/>
    </xf>
    <xf numFmtId="37" fontId="31" fillId="54" borderId="126" xfId="0" applyFont="1" applyFill="1" applyBorder="1" applyAlignment="1">
      <alignment horizontal="center" vertical="center"/>
    </xf>
    <xf numFmtId="37" fontId="31" fillId="54" borderId="121" xfId="0" applyFont="1" applyFill="1" applyBorder="1" applyAlignment="1">
      <alignment horizontal="center" vertical="center"/>
    </xf>
    <xf numFmtId="37" fontId="30" fillId="30" borderId="0" xfId="0" applyFont="1" applyFill="1" applyAlignment="1">
      <alignment horizontal="center" vertical="center"/>
    </xf>
    <xf numFmtId="17" fontId="31" fillId="0" borderId="76" xfId="0" applyNumberFormat="1" applyFont="1" applyBorder="1" applyAlignment="1">
      <alignment horizontal="center" vertical="center"/>
    </xf>
    <xf numFmtId="0" fontId="31" fillId="0" borderId="33" xfId="0" applyNumberFormat="1" applyFont="1" applyBorder="1" applyAlignment="1">
      <alignment horizontal="center" vertical="center"/>
    </xf>
    <xf numFmtId="37" fontId="11" fillId="30" borderId="97" xfId="0" applyFont="1" applyFill="1" applyBorder="1" applyAlignment="1">
      <alignment horizontal="center" vertical="center"/>
    </xf>
    <xf numFmtId="37" fontId="11" fillId="30" borderId="98" xfId="0" applyFont="1" applyFill="1" applyBorder="1" applyAlignment="1">
      <alignment horizontal="center" vertical="center"/>
    </xf>
    <xf numFmtId="37" fontId="30" fillId="0" borderId="127" xfId="0" applyFont="1" applyBorder="1" applyAlignment="1">
      <alignment horizontal="left" vertical="center"/>
    </xf>
    <xf numFmtId="37" fontId="30" fillId="0" borderId="128" xfId="0" applyFont="1" applyBorder="1" applyAlignment="1">
      <alignment horizontal="left" vertical="center"/>
    </xf>
    <xf numFmtId="37" fontId="0" fillId="0" borderId="126" xfId="0" applyBorder="1" applyAlignment="1">
      <alignment horizontal="center"/>
    </xf>
    <xf numFmtId="37" fontId="11" fillId="30" borderId="84" xfId="0" applyFont="1" applyFill="1" applyBorder="1" applyAlignment="1">
      <alignment horizontal="center" vertical="center"/>
    </xf>
    <xf numFmtId="37" fontId="30" fillId="0" borderId="129" xfId="0" applyFont="1" applyBorder="1" applyAlignment="1">
      <alignment horizontal="left" vertical="center"/>
    </xf>
    <xf numFmtId="37" fontId="30" fillId="0" borderId="130" xfId="0" applyFont="1" applyBorder="1" applyAlignment="1">
      <alignment horizontal="left" vertical="center"/>
    </xf>
    <xf numFmtId="37" fontId="0" fillId="0" borderId="124" xfId="0" applyBorder="1" applyAlignment="1">
      <alignment horizontal="center"/>
    </xf>
    <xf numFmtId="37" fontId="11" fillId="0" borderId="58" xfId="0" applyFont="1" applyBorder="1" applyAlignment="1">
      <alignment horizontal="center" vertical="center"/>
    </xf>
    <xf numFmtId="37" fontId="4" fillId="0" borderId="58" xfId="0" applyFont="1" applyBorder="1" applyAlignment="1">
      <alignment horizontal="center" vertical="center"/>
    </xf>
    <xf numFmtId="37" fontId="11" fillId="51" borderId="120" xfId="0" applyFont="1" applyFill="1" applyBorder="1" applyAlignment="1">
      <alignment horizontal="center" vertical="center"/>
    </xf>
    <xf numFmtId="37" fontId="11" fillId="51" borderId="126" xfId="0" applyFont="1" applyFill="1" applyBorder="1" applyAlignment="1">
      <alignment horizontal="center" vertical="center"/>
    </xf>
    <xf numFmtId="37" fontId="11" fillId="51" borderId="121" xfId="0" applyFont="1" applyFill="1" applyBorder="1" applyAlignment="1">
      <alignment horizontal="center" vertical="center"/>
    </xf>
    <xf numFmtId="165" fontId="30" fillId="0" borderId="131" xfId="106" applyFont="1" applyBorder="1" applyAlignment="1">
      <alignment horizontal="center" vertical="center"/>
    </xf>
    <xf numFmtId="37" fontId="11" fillId="49" borderId="0" xfId="0" applyFont="1" applyFill="1" applyAlignment="1">
      <alignment horizontal="center" vertical="center"/>
    </xf>
    <xf numFmtId="37" fontId="30" fillId="13" borderId="120" xfId="82" applyFont="1" applyFill="1" applyBorder="1" applyAlignment="1">
      <alignment horizontal="center" vertical="center"/>
      <protection/>
    </xf>
    <xf numFmtId="37" fontId="30" fillId="13" borderId="121" xfId="82" applyFont="1" applyFill="1" applyBorder="1" applyAlignment="1">
      <alignment horizontal="center" vertical="center"/>
      <protection/>
    </xf>
    <xf numFmtId="165" fontId="30" fillId="0" borderId="132" xfId="106" applyFont="1" applyBorder="1" applyAlignment="1">
      <alignment horizontal="left" vertical="center"/>
    </xf>
    <xf numFmtId="165" fontId="30" fillId="0" borderId="133" xfId="106" applyFont="1" applyBorder="1" applyAlignment="1">
      <alignment horizontal="left" vertical="center"/>
    </xf>
    <xf numFmtId="37" fontId="7" fillId="0" borderId="0" xfId="0" applyFont="1" applyAlignment="1">
      <alignment horizontal="center" vertical="center" wrapText="1"/>
    </xf>
    <xf numFmtId="37" fontId="38" fillId="51" borderId="134" xfId="0" applyFont="1" applyFill="1" applyBorder="1" applyAlignment="1">
      <alignment horizontal="center" vertical="center"/>
    </xf>
    <xf numFmtId="37" fontId="38" fillId="51" borderId="135" xfId="0" applyFont="1" applyFill="1" applyBorder="1" applyAlignment="1">
      <alignment horizontal="center" vertical="center"/>
    </xf>
    <xf numFmtId="37" fontId="38" fillId="19" borderId="134" xfId="0" applyFont="1" applyFill="1" applyBorder="1" applyAlignment="1">
      <alignment horizontal="center" vertical="center"/>
    </xf>
    <xf numFmtId="37" fontId="38" fillId="19" borderId="135" xfId="0" applyFont="1" applyFill="1" applyBorder="1" applyAlignment="1">
      <alignment horizontal="center" vertical="center"/>
    </xf>
    <xf numFmtId="37" fontId="33" fillId="0" borderId="76" xfId="0" applyFont="1" applyBorder="1" applyAlignment="1">
      <alignment horizontal="center" vertical="center"/>
    </xf>
    <xf numFmtId="37" fontId="33" fillId="0" borderId="32" xfId="0" applyFont="1" applyBorder="1" applyAlignment="1">
      <alignment horizontal="center" vertical="center"/>
    </xf>
    <xf numFmtId="37" fontId="7" fillId="14" borderId="32" xfId="0" applyFont="1" applyFill="1" applyBorder="1" applyAlignment="1">
      <alignment horizontal="center"/>
    </xf>
    <xf numFmtId="39" fontId="30" fillId="51" borderId="136" xfId="0" applyNumberFormat="1" applyFont="1" applyFill="1" applyBorder="1" applyAlignment="1">
      <alignment horizontal="center" vertical="center"/>
    </xf>
    <xf numFmtId="39" fontId="30" fillId="51" borderId="91" xfId="0" applyNumberFormat="1" applyFont="1" applyFill="1" applyBorder="1" applyAlignment="1">
      <alignment horizontal="center" vertical="center"/>
    </xf>
    <xf numFmtId="37" fontId="4" fillId="0" borderId="0" xfId="0" applyFont="1" applyAlignment="1">
      <alignment horizontal="center"/>
    </xf>
    <xf numFmtId="165" fontId="30" fillId="0" borderId="0" xfId="106" applyFont="1" applyAlignment="1">
      <alignment horizontal="left" vertical="center"/>
    </xf>
    <xf numFmtId="177" fontId="30" fillId="49" borderId="0" xfId="82" applyNumberFormat="1" applyFont="1" applyFill="1" applyAlignment="1">
      <alignment horizontal="center" vertical="center" wrapText="1"/>
      <protection/>
    </xf>
    <xf numFmtId="37" fontId="33" fillId="0" borderId="76" xfId="0" applyFont="1" applyBorder="1" applyAlignment="1">
      <alignment horizontal="center" vertical="center" wrapText="1"/>
    </xf>
    <xf numFmtId="37" fontId="33" fillId="0" borderId="33" xfId="0" applyFont="1" applyBorder="1" applyAlignment="1">
      <alignment horizontal="center" vertical="center" wrapText="1"/>
    </xf>
    <xf numFmtId="165" fontId="30" fillId="0" borderId="80" xfId="106" applyFont="1" applyBorder="1" applyAlignment="1">
      <alignment horizontal="left" vertical="center"/>
    </xf>
    <xf numFmtId="165" fontId="30" fillId="0" borderId="137" xfId="106" applyFont="1" applyBorder="1" applyAlignment="1">
      <alignment horizontal="left" vertical="center"/>
    </xf>
    <xf numFmtId="37" fontId="30" fillId="51" borderId="138" xfId="0" applyFont="1" applyFill="1" applyBorder="1" applyAlignment="1">
      <alignment horizontal="center" vertical="center"/>
    </xf>
    <xf numFmtId="37" fontId="30" fillId="51" borderId="92" xfId="0" applyFont="1" applyFill="1" applyBorder="1" applyAlignment="1">
      <alignment horizontal="center" vertical="center"/>
    </xf>
    <xf numFmtId="37" fontId="84" fillId="0" borderId="139" xfId="0" applyFont="1" applyBorder="1" applyAlignment="1">
      <alignment horizontal="center" vertical="center"/>
    </xf>
    <xf numFmtId="37" fontId="84" fillId="0" borderId="140" xfId="0" applyFont="1" applyBorder="1" applyAlignment="1">
      <alignment horizontal="center" vertical="center"/>
    </xf>
    <xf numFmtId="37" fontId="84" fillId="0" borderId="36" xfId="0" applyFont="1" applyBorder="1" applyAlignment="1">
      <alignment horizontal="center" vertical="center"/>
    </xf>
    <xf numFmtId="37" fontId="84" fillId="0" borderId="39" xfId="0" applyFont="1" applyBorder="1" applyAlignment="1">
      <alignment horizontal="center" vertical="center"/>
    </xf>
    <xf numFmtId="37" fontId="84" fillId="0" borderId="137" xfId="0" applyFont="1" applyBorder="1" applyAlignment="1">
      <alignment horizontal="center" vertical="center"/>
    </xf>
    <xf numFmtId="37" fontId="84" fillId="0" borderId="141" xfId="0" applyFont="1" applyBorder="1" applyAlignment="1">
      <alignment horizontal="center" vertical="center"/>
    </xf>
    <xf numFmtId="3" fontId="31" fillId="0" borderId="39" xfId="106" applyNumberFormat="1" applyFont="1" applyBorder="1" applyAlignment="1">
      <alignment horizontal="right" vertical="center" indent="1"/>
    </xf>
    <xf numFmtId="3" fontId="31" fillId="0" borderId="36" xfId="106" applyNumberFormat="1" applyFont="1" applyBorder="1" applyAlignment="1">
      <alignment horizontal="right" vertical="center" indent="1"/>
    </xf>
    <xf numFmtId="37" fontId="31" fillId="0" borderId="21" xfId="0" applyFont="1" applyBorder="1" applyAlignment="1">
      <alignment horizontal="center" vertical="center"/>
    </xf>
    <xf numFmtId="37" fontId="31" fillId="0" borderId="39" xfId="0" applyFont="1" applyBorder="1" applyAlignment="1">
      <alignment horizontal="center" vertical="center"/>
    </xf>
    <xf numFmtId="3" fontId="31" fillId="0" borderId="139" xfId="106" applyNumberFormat="1" applyFont="1" applyBorder="1" applyAlignment="1">
      <alignment horizontal="right" vertical="center" indent="1"/>
    </xf>
    <xf numFmtId="37" fontId="9" fillId="0" borderId="0" xfId="0" applyFont="1" applyAlignment="1">
      <alignment horizontal="center"/>
    </xf>
    <xf numFmtId="37" fontId="38" fillId="6" borderId="142" xfId="0" applyFont="1" applyFill="1" applyBorder="1" applyAlignment="1">
      <alignment horizontal="center" vertical="center"/>
    </xf>
    <xf numFmtId="37" fontId="38" fillId="6" borderId="143" xfId="0" applyFont="1" applyFill="1" applyBorder="1" applyAlignment="1">
      <alignment horizontal="center" vertical="center"/>
    </xf>
    <xf numFmtId="37" fontId="38" fillId="6" borderId="144" xfId="0" applyFont="1" applyFill="1" applyBorder="1" applyAlignment="1">
      <alignment horizontal="center" vertical="center"/>
    </xf>
    <xf numFmtId="3" fontId="31" fillId="0" borderId="21" xfId="106" applyNumberFormat="1" applyFont="1" applyBorder="1" applyAlignment="1">
      <alignment horizontal="center" vertical="center" shrinkToFit="1"/>
    </xf>
    <xf numFmtId="3" fontId="31" fillId="0" borderId="39" xfId="106" applyNumberFormat="1" applyFont="1" applyBorder="1" applyAlignment="1">
      <alignment horizontal="center" vertical="center" shrinkToFit="1"/>
    </xf>
    <xf numFmtId="37" fontId="31" fillId="49" borderId="36" xfId="0" applyFont="1" applyFill="1" applyBorder="1" applyAlignment="1">
      <alignment horizontal="center" vertical="center"/>
    </xf>
    <xf numFmtId="37" fontId="31" fillId="49" borderId="21" xfId="0" applyFont="1" applyFill="1" applyBorder="1" applyAlignment="1">
      <alignment horizontal="center" vertical="center"/>
    </xf>
    <xf numFmtId="37" fontId="31" fillId="0" borderId="36" xfId="0" applyFont="1" applyBorder="1" applyAlignment="1">
      <alignment horizontal="center" vertical="center"/>
    </xf>
    <xf numFmtId="37" fontId="42" fillId="0" borderId="0" xfId="0" applyFont="1" applyAlignment="1">
      <alignment horizontal="center" vertical="center"/>
    </xf>
    <xf numFmtId="37" fontId="38" fillId="6" borderId="145" xfId="0" applyFont="1" applyFill="1" applyBorder="1" applyAlignment="1">
      <alignment horizontal="center" vertical="center"/>
    </xf>
    <xf numFmtId="37" fontId="38" fillId="6" borderId="146" xfId="0" applyFont="1" applyFill="1" applyBorder="1" applyAlignment="1">
      <alignment horizontal="center" vertical="center"/>
    </xf>
    <xf numFmtId="3" fontId="31" fillId="0" borderId="139" xfId="106" applyNumberFormat="1" applyFont="1" applyBorder="1" applyAlignment="1">
      <alignment horizontal="right" vertical="center"/>
    </xf>
    <xf numFmtId="3" fontId="31" fillId="0" borderId="141" xfId="106" applyNumberFormat="1" applyFont="1" applyBorder="1" applyAlignment="1">
      <alignment horizontal="right" vertical="center"/>
    </xf>
    <xf numFmtId="37" fontId="11" fillId="0" borderId="85" xfId="0" applyFont="1" applyBorder="1" applyAlignment="1">
      <alignment horizontal="left" vertical="center" indent="1"/>
    </xf>
    <xf numFmtId="37" fontId="11" fillId="0" borderId="53" xfId="0" applyFont="1" applyBorder="1" applyAlignment="1">
      <alignment horizontal="left" vertical="center" indent="1"/>
    </xf>
    <xf numFmtId="37" fontId="11" fillId="0" borderId="54" xfId="0" applyFont="1" applyBorder="1" applyAlignment="1">
      <alignment horizontal="left" vertical="center" indent="1"/>
    </xf>
    <xf numFmtId="3" fontId="31" fillId="0" borderId="36" xfId="106" applyNumberFormat="1" applyFont="1" applyBorder="1" applyAlignment="1">
      <alignment horizontal="center" vertical="center" shrinkToFit="1"/>
    </xf>
    <xf numFmtId="37" fontId="31" fillId="0" borderId="27" xfId="0" applyFont="1" applyBorder="1" applyAlignment="1">
      <alignment horizontal="center" vertical="center"/>
    </xf>
    <xf numFmtId="37" fontId="31" fillId="0" borderId="73" xfId="0" applyFont="1" applyBorder="1" applyAlignment="1">
      <alignment horizontal="center" vertical="center"/>
    </xf>
    <xf numFmtId="37" fontId="11" fillId="30" borderId="147" xfId="0" applyFont="1" applyFill="1" applyBorder="1" applyAlignment="1">
      <alignment vertical="center"/>
    </xf>
    <xf numFmtId="37" fontId="11" fillId="30" borderId="129" xfId="0" applyFont="1" applyFill="1" applyBorder="1" applyAlignment="1">
      <alignment vertical="center"/>
    </xf>
    <xf numFmtId="37" fontId="11" fillId="30" borderId="130" xfId="0" applyFont="1" applyFill="1" applyBorder="1" applyAlignment="1">
      <alignment vertical="center"/>
    </xf>
    <xf numFmtId="37" fontId="31" fillId="6" borderId="148" xfId="0" applyFont="1" applyFill="1" applyBorder="1" applyAlignment="1">
      <alignment horizontal="center" vertical="center"/>
    </xf>
    <xf numFmtId="37" fontId="31" fillId="6" borderId="97" xfId="0" applyFont="1" applyFill="1" applyBorder="1" applyAlignment="1">
      <alignment horizontal="center" vertical="center"/>
    </xf>
    <xf numFmtId="37" fontId="31" fillId="6" borderId="149" xfId="0" applyFont="1" applyFill="1" applyBorder="1" applyAlignment="1">
      <alignment horizontal="center" vertical="center"/>
    </xf>
    <xf numFmtId="37" fontId="31" fillId="6" borderId="98" xfId="0" applyFont="1" applyFill="1" applyBorder="1" applyAlignment="1">
      <alignment horizontal="center" vertical="center"/>
    </xf>
    <xf numFmtId="3" fontId="31" fillId="0" borderId="27" xfId="106" applyNumberFormat="1" applyFont="1" applyBorder="1" applyAlignment="1">
      <alignment horizontal="center" vertical="center"/>
    </xf>
    <xf numFmtId="3" fontId="31" fillId="0" borderId="73" xfId="106" applyNumberFormat="1" applyFont="1" applyBorder="1" applyAlignment="1">
      <alignment horizontal="center" vertical="center"/>
    </xf>
    <xf numFmtId="3" fontId="84" fillId="0" borderId="39" xfId="106" applyNumberFormat="1" applyFont="1" applyBorder="1" applyAlignment="1">
      <alignment horizontal="center" vertical="center" shrinkToFit="1"/>
    </xf>
    <xf numFmtId="3" fontId="84" fillId="0" borderId="140" xfId="106" applyNumberFormat="1" applyFont="1" applyBorder="1" applyAlignment="1">
      <alignment horizontal="center" vertical="center" shrinkToFit="1"/>
    </xf>
    <xf numFmtId="3" fontId="84" fillId="0" borderId="137" xfId="106" applyNumberFormat="1" applyFont="1" applyBorder="1" applyAlignment="1">
      <alignment horizontal="center" vertical="center" shrinkToFit="1"/>
    </xf>
    <xf numFmtId="9" fontId="31" fillId="0" borderId="139" xfId="86" applyFont="1" applyBorder="1" applyAlignment="1">
      <alignment horizontal="center" vertical="center"/>
    </xf>
    <xf numFmtId="9" fontId="31" fillId="0" borderId="141" xfId="86" applyFont="1" applyBorder="1" applyAlignment="1">
      <alignment horizontal="center" vertical="center"/>
    </xf>
    <xf numFmtId="37" fontId="31" fillId="6" borderId="74" xfId="0" applyFont="1" applyFill="1" applyBorder="1" applyAlignment="1">
      <alignment horizontal="left" vertical="center" indent="1"/>
    </xf>
    <xf numFmtId="37" fontId="31" fillId="6" borderId="81" xfId="0" applyFont="1" applyFill="1" applyBorder="1" applyAlignment="1">
      <alignment horizontal="left" vertical="center" indent="1"/>
    </xf>
    <xf numFmtId="37" fontId="31" fillId="6" borderId="84" xfId="0" applyFont="1" applyFill="1" applyBorder="1" applyAlignment="1">
      <alignment horizontal="center" vertical="center"/>
    </xf>
    <xf numFmtId="37" fontId="31" fillId="15" borderId="150" xfId="0" applyFont="1" applyFill="1" applyBorder="1" applyAlignment="1">
      <alignment vertical="center"/>
    </xf>
    <xf numFmtId="37" fontId="31" fillId="6" borderId="51" xfId="0" applyFont="1" applyFill="1" applyBorder="1" applyAlignment="1">
      <alignment horizontal="center" vertical="center"/>
    </xf>
    <xf numFmtId="170" fontId="34" fillId="6" borderId="52" xfId="0" applyNumberFormat="1" applyFont="1" applyFill="1" applyBorder="1" applyAlignment="1">
      <alignment horizontal="center" vertical="center"/>
    </xf>
    <xf numFmtId="170" fontId="34" fillId="6" borderId="53" xfId="0" applyNumberFormat="1" applyFont="1" applyFill="1" applyBorder="1" applyAlignment="1">
      <alignment horizontal="center" vertical="center"/>
    </xf>
    <xf numFmtId="170" fontId="34" fillId="6" borderId="54" xfId="0" applyNumberFormat="1" applyFont="1" applyFill="1" applyBorder="1" applyAlignment="1">
      <alignment horizontal="center" vertical="center"/>
    </xf>
    <xf numFmtId="168" fontId="39" fillId="6" borderId="52" xfId="0" applyNumberFormat="1" applyFont="1" applyFill="1" applyBorder="1" applyAlignment="1">
      <alignment horizontal="center" vertical="center"/>
    </xf>
    <xf numFmtId="168" fontId="39" fillId="6" borderId="113" xfId="0" applyNumberFormat="1" applyFont="1" applyFill="1" applyBorder="1" applyAlignment="1">
      <alignment horizontal="center" vertical="center"/>
    </xf>
    <xf numFmtId="3" fontId="84" fillId="0" borderId="36" xfId="106" applyNumberFormat="1" applyFont="1" applyBorder="1" applyAlignment="1">
      <alignment horizontal="center" vertical="center" shrinkToFit="1"/>
    </xf>
    <xf numFmtId="3" fontId="84" fillId="0" borderId="21" xfId="106" applyNumberFormat="1" applyFont="1" applyBorder="1" applyAlignment="1">
      <alignment horizontal="center" vertical="center" shrinkToFit="1"/>
    </xf>
    <xf numFmtId="170" fontId="34" fillId="6" borderId="147" xfId="0" applyNumberFormat="1" applyFont="1" applyFill="1" applyBorder="1" applyAlignment="1">
      <alignment horizontal="center" vertical="center"/>
    </xf>
    <xf numFmtId="170" fontId="34" fillId="6" borderId="129" xfId="0" applyNumberFormat="1" applyFont="1" applyFill="1" applyBorder="1" applyAlignment="1">
      <alignment horizontal="center" vertical="center"/>
    </xf>
    <xf numFmtId="170" fontId="34" fillId="6" borderId="130" xfId="0" applyNumberFormat="1" applyFont="1" applyFill="1" applyBorder="1" applyAlignment="1">
      <alignment horizontal="center" vertical="center"/>
    </xf>
    <xf numFmtId="168" fontId="39" fillId="6" borderId="147" xfId="0" applyNumberFormat="1" applyFont="1" applyFill="1" applyBorder="1" applyAlignment="1">
      <alignment horizontal="center" vertical="center"/>
    </xf>
    <xf numFmtId="168" fontId="39" fillId="6" borderId="151" xfId="0" applyNumberFormat="1" applyFont="1" applyFill="1" applyBorder="1" applyAlignment="1">
      <alignment horizontal="center" vertical="center"/>
    </xf>
    <xf numFmtId="214" fontId="41" fillId="15" borderId="65" xfId="77" applyNumberFormat="1" applyFont="1" applyFill="1" applyBorder="1" applyAlignment="1">
      <alignment vertical="center"/>
    </xf>
  </cellXfs>
  <cellStyles count="94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Hyperlink" xfId="73"/>
    <cellStyle name="Followed Hyperlink" xfId="74"/>
    <cellStyle name="Incorreto" xfId="75"/>
    <cellStyle name="Incorreto 2" xfId="76"/>
    <cellStyle name="Currency" xfId="77"/>
    <cellStyle name="Currency [0]" xfId="78"/>
    <cellStyle name="Neutra" xfId="79"/>
    <cellStyle name="Neutra 2" xfId="80"/>
    <cellStyle name="Normal 2" xfId="81"/>
    <cellStyle name="Normal 3" xfId="82"/>
    <cellStyle name="Normal 4" xfId="83"/>
    <cellStyle name="Nota" xfId="84"/>
    <cellStyle name="Nota 2" xfId="85"/>
    <cellStyle name="Percent" xfId="86"/>
    <cellStyle name="Saída" xfId="87"/>
    <cellStyle name="Saída 2" xfId="88"/>
    <cellStyle name="Comma [0]" xfId="89"/>
    <cellStyle name="Texto de Aviso" xfId="90"/>
    <cellStyle name="Texto de Aviso 2" xfId="91"/>
    <cellStyle name="Texto Explicativo" xfId="92"/>
    <cellStyle name="Texto Explicativo 2" xfId="93"/>
    <cellStyle name="Título" xfId="94"/>
    <cellStyle name="Título 1" xfId="95"/>
    <cellStyle name="Título 1 2" xfId="96"/>
    <cellStyle name="Título 2" xfId="97"/>
    <cellStyle name="Título 2 2" xfId="98"/>
    <cellStyle name="Título 3" xfId="99"/>
    <cellStyle name="Título 3 2" xfId="100"/>
    <cellStyle name="Título 4" xfId="101"/>
    <cellStyle name="Título 4 2" xfId="102"/>
    <cellStyle name="Título 5" xfId="103"/>
    <cellStyle name="Total" xfId="104"/>
    <cellStyle name="Total 2" xfId="105"/>
    <cellStyle name="Comma" xfId="106"/>
    <cellStyle name="Vírgula 2" xfId="10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gred\Downloads\Planilha-2022-versao-2-analise%20(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M, PASSAGEIROS E PESSOAL"/>
      <sheetName val="FROTA E CUSTOS"/>
      <sheetName val="TÁRIFA "/>
      <sheetName val="REMUNERAÇÃO"/>
    </sheetNames>
    <sheetDataSet>
      <sheetData sheetId="2">
        <row r="17">
          <cell r="T17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47"/>
  <sheetViews>
    <sheetView showGridLines="0" zoomScale="120" zoomScaleNormal="120" zoomScalePageLayoutView="0" workbookViewId="0" topLeftCell="A1">
      <selection activeCell="E14" sqref="E14"/>
    </sheetView>
  </sheetViews>
  <sheetFormatPr defaultColWidth="9.00390625" defaultRowHeight="12.75"/>
  <cols>
    <col min="1" max="1" width="2.625" style="0" customWidth="1"/>
    <col min="2" max="2" width="12.375" style="0" customWidth="1"/>
    <col min="3" max="3" width="15.375" style="0" bestFit="1" customWidth="1"/>
    <col min="4" max="4" width="14.00390625" style="0" customWidth="1"/>
    <col min="5" max="5" width="11.625" style="0" customWidth="1"/>
    <col min="6" max="6" width="11.25390625" style="0" customWidth="1"/>
    <col min="7" max="7" width="19.625" style="0" bestFit="1" customWidth="1"/>
    <col min="8" max="8" width="13.25390625" style="0" customWidth="1"/>
    <col min="9" max="9" width="11.875" style="0" customWidth="1"/>
    <col min="10" max="10" width="7.875" style="0" customWidth="1"/>
    <col min="11" max="11" width="2.625" style="0" customWidth="1"/>
    <col min="12" max="12" width="15.625" style="0" customWidth="1"/>
    <col min="13" max="13" width="8.00390625" style="0" customWidth="1"/>
    <col min="14" max="14" width="2.625" style="0" customWidth="1"/>
    <col min="15" max="15" width="15.625" style="0" customWidth="1"/>
    <col min="16" max="16" width="11.125" style="0" bestFit="1" customWidth="1"/>
    <col min="17" max="17" width="2.625" style="0" customWidth="1"/>
    <col min="18" max="18" width="8.875" style="0" customWidth="1"/>
    <col min="19" max="19" width="52.125" style="0" customWidth="1"/>
    <col min="20" max="20" width="5.875" style="0" customWidth="1"/>
  </cols>
  <sheetData>
    <row r="1" ht="13.5" customHeight="1" thickBot="1"/>
    <row r="2" spans="2:17" ht="13.5" customHeight="1">
      <c r="B2" s="435" t="s">
        <v>152</v>
      </c>
      <c r="C2" s="436"/>
      <c r="D2" s="436"/>
      <c r="E2" s="436"/>
      <c r="F2" s="436"/>
      <c r="G2" s="436"/>
      <c r="H2" s="436"/>
      <c r="I2" s="437"/>
      <c r="K2" s="432" t="s">
        <v>153</v>
      </c>
      <c r="L2" s="433"/>
      <c r="M2" s="433"/>
      <c r="N2" s="433"/>
      <c r="O2" s="433"/>
      <c r="P2" s="433"/>
      <c r="Q2" s="434"/>
    </row>
    <row r="3" spans="2:17" ht="13.5" customHeight="1" thickBot="1">
      <c r="B3" s="199"/>
      <c r="C3" s="179"/>
      <c r="D3" s="441"/>
      <c r="E3" s="441"/>
      <c r="F3" s="442"/>
      <c r="G3" s="441"/>
      <c r="H3" s="441"/>
      <c r="I3" s="446"/>
      <c r="J3" s="140"/>
      <c r="K3" s="28"/>
      <c r="Q3" s="29"/>
    </row>
    <row r="4" spans="2:21" ht="13.5" customHeight="1" thickBot="1">
      <c r="B4" s="439">
        <v>45323</v>
      </c>
      <c r="C4" s="440"/>
      <c r="D4" s="10" t="s">
        <v>32</v>
      </c>
      <c r="E4" s="10" t="s">
        <v>33</v>
      </c>
      <c r="F4" s="11" t="s">
        <v>26</v>
      </c>
      <c r="G4" s="10" t="s">
        <v>32</v>
      </c>
      <c r="H4" s="10" t="s">
        <v>33</v>
      </c>
      <c r="I4" s="200" t="s">
        <v>26</v>
      </c>
      <c r="J4" s="141"/>
      <c r="K4" s="28"/>
      <c r="L4" s="430" t="s">
        <v>46</v>
      </c>
      <c r="M4" s="431"/>
      <c r="N4" s="311"/>
      <c r="O4" s="430" t="s">
        <v>47</v>
      </c>
      <c r="P4" s="431"/>
      <c r="Q4" s="29"/>
      <c r="S4" s="182"/>
      <c r="T4" s="182"/>
      <c r="U4" s="182"/>
    </row>
    <row r="5" spans="2:21" s="7" customFormat="1" ht="13.5" customHeight="1">
      <c r="B5" s="301" t="s">
        <v>29</v>
      </c>
      <c r="C5" s="299">
        <v>20</v>
      </c>
      <c r="D5" s="332">
        <v>3997.71</v>
      </c>
      <c r="E5" s="331">
        <v>29939.482</v>
      </c>
      <c r="F5" s="294">
        <v>3059.928</v>
      </c>
      <c r="G5" s="282">
        <f aca="true" t="shared" si="0" ref="G5:I7">D5*$C5</f>
        <v>79954.2</v>
      </c>
      <c r="H5" s="282">
        <f t="shared" si="0"/>
        <v>598789.64</v>
      </c>
      <c r="I5" s="283">
        <f t="shared" si="0"/>
        <v>61198.56</v>
      </c>
      <c r="J5" s="142"/>
      <c r="K5" s="28"/>
      <c r="L5" s="304" t="s">
        <v>13</v>
      </c>
      <c r="M5" s="319">
        <v>2173.2</v>
      </c>
      <c r="N5" s="305"/>
      <c r="O5" s="316" t="s">
        <v>13</v>
      </c>
      <c r="P5" s="327">
        <v>2042.15</v>
      </c>
      <c r="Q5" s="29"/>
      <c r="S5" s="183"/>
      <c r="T5" s="183"/>
      <c r="U5" s="183"/>
    </row>
    <row r="6" spans="2:21" ht="13.5" customHeight="1">
      <c r="B6" s="302" t="s">
        <v>30</v>
      </c>
      <c r="C6" s="300">
        <v>4</v>
      </c>
      <c r="D6" s="295">
        <v>8050.674</v>
      </c>
      <c r="E6" s="295">
        <v>16292.614</v>
      </c>
      <c r="F6" s="296">
        <v>2232.998</v>
      </c>
      <c r="G6" s="284">
        <f t="shared" si="0"/>
        <v>32202.696</v>
      </c>
      <c r="H6" s="284">
        <f t="shared" si="0"/>
        <v>65170.456</v>
      </c>
      <c r="I6" s="285">
        <f t="shared" si="0"/>
        <v>8931.992</v>
      </c>
      <c r="J6" s="141"/>
      <c r="K6" s="28"/>
      <c r="L6" s="306" t="s">
        <v>14</v>
      </c>
      <c r="M6" s="319">
        <v>1523.36</v>
      </c>
      <c r="N6" s="305"/>
      <c r="O6" s="317" t="s">
        <v>14</v>
      </c>
      <c r="P6" s="328">
        <v>1182.46</v>
      </c>
      <c r="Q6" s="29"/>
      <c r="S6" s="182"/>
      <c r="T6" s="182"/>
      <c r="U6" s="182"/>
    </row>
    <row r="7" spans="2:21" ht="13.5" customHeight="1">
      <c r="B7" s="303" t="s">
        <v>31</v>
      </c>
      <c r="C7" s="292">
        <v>5</v>
      </c>
      <c r="D7" s="297">
        <v>9857.371</v>
      </c>
      <c r="E7" s="297">
        <v>4791.866</v>
      </c>
      <c r="F7" s="298">
        <v>347.645</v>
      </c>
      <c r="G7" s="286">
        <f t="shared" si="0"/>
        <v>49286.854999999996</v>
      </c>
      <c r="H7" s="286">
        <f t="shared" si="0"/>
        <v>23959.33</v>
      </c>
      <c r="I7" s="287">
        <f t="shared" si="0"/>
        <v>1738.225</v>
      </c>
      <c r="J7" s="141"/>
      <c r="K7" s="28"/>
      <c r="L7" s="307" t="s">
        <v>15</v>
      </c>
      <c r="M7" s="319">
        <v>827.08</v>
      </c>
      <c r="N7" s="305"/>
      <c r="O7" s="317" t="s">
        <v>15</v>
      </c>
      <c r="P7" s="328">
        <v>423.21</v>
      </c>
      <c r="Q7" s="29"/>
      <c r="S7" s="182"/>
      <c r="T7" s="182"/>
      <c r="U7" s="182"/>
    </row>
    <row r="8" spans="2:21" ht="13.5" customHeight="1">
      <c r="B8" s="303" t="s">
        <v>120</v>
      </c>
      <c r="C8" s="292">
        <f>SUM(C5:C7)</f>
        <v>29</v>
      </c>
      <c r="D8" s="293" t="s">
        <v>105</v>
      </c>
      <c r="E8" s="447" t="s">
        <v>22</v>
      </c>
      <c r="F8" s="448"/>
      <c r="G8" s="288">
        <f>SUM(G5:G7)</f>
        <v>161443.751</v>
      </c>
      <c r="H8" s="288">
        <f>SUM(H5:H7)</f>
        <v>687919.426</v>
      </c>
      <c r="I8" s="289">
        <f>SUM(I5:I7)</f>
        <v>71868.777</v>
      </c>
      <c r="J8" s="141"/>
      <c r="K8" s="28"/>
      <c r="L8" s="308" t="s">
        <v>16</v>
      </c>
      <c r="M8" s="320">
        <f>M5/6</f>
        <v>362.2</v>
      </c>
      <c r="N8" s="246"/>
      <c r="O8" s="318" t="s">
        <v>16</v>
      </c>
      <c r="P8" s="329">
        <f>P5/6</f>
        <v>340.35833333333335</v>
      </c>
      <c r="Q8" s="29"/>
      <c r="S8" s="182"/>
      <c r="T8" s="182"/>
      <c r="U8" s="182"/>
    </row>
    <row r="9" spans="2:22" ht="13.5" customHeight="1" thickBot="1">
      <c r="B9" s="199"/>
      <c r="C9" s="267" t="s">
        <v>134</v>
      </c>
      <c r="D9" s="201"/>
      <c r="E9" s="443" t="s">
        <v>23</v>
      </c>
      <c r="F9" s="444"/>
      <c r="G9" s="290">
        <f>G8</f>
        <v>161443.751</v>
      </c>
      <c r="H9" s="290">
        <f>H8</f>
        <v>687919.426</v>
      </c>
      <c r="I9" s="291">
        <f>I8</f>
        <v>71868.777</v>
      </c>
      <c r="J9" s="141"/>
      <c r="K9" s="28"/>
      <c r="L9" s="306" t="s">
        <v>17</v>
      </c>
      <c r="M9" s="321">
        <f>M6/6</f>
        <v>253.89333333333332</v>
      </c>
      <c r="N9" s="246"/>
      <c r="O9" s="306" t="s">
        <v>17</v>
      </c>
      <c r="P9" s="321">
        <f>P6/6</f>
        <v>197.07666666666668</v>
      </c>
      <c r="Q9" s="29"/>
      <c r="T9" s="182"/>
      <c r="U9" s="182"/>
      <c r="V9" s="182"/>
    </row>
    <row r="10" spans="2:22" ht="13.5" customHeight="1" thickBot="1">
      <c r="B10" s="202"/>
      <c r="C10" s="203"/>
      <c r="D10" s="203"/>
      <c r="E10" s="428" t="s">
        <v>34</v>
      </c>
      <c r="F10" s="429"/>
      <c r="G10" s="280"/>
      <c r="H10" s="280"/>
      <c r="I10" s="281">
        <f>SUM(G9:I9)</f>
        <v>921231.9539999999</v>
      </c>
      <c r="J10" s="178"/>
      <c r="K10" s="28"/>
      <c r="L10" s="307" t="s">
        <v>18</v>
      </c>
      <c r="M10" s="322">
        <f>M7/6</f>
        <v>137.84666666666666</v>
      </c>
      <c r="N10" s="246"/>
      <c r="O10" s="307" t="s">
        <v>18</v>
      </c>
      <c r="P10" s="330">
        <f>P7/6</f>
        <v>70.535</v>
      </c>
      <c r="Q10" s="29"/>
      <c r="T10" s="182"/>
      <c r="U10" s="184"/>
      <c r="V10" s="182"/>
    </row>
    <row r="11" spans="2:22" ht="13.5" thickBot="1">
      <c r="B11" s="438" t="s">
        <v>105</v>
      </c>
      <c r="C11" s="438"/>
      <c r="D11" s="9"/>
      <c r="E11" s="9"/>
      <c r="F11" s="160"/>
      <c r="G11" s="445"/>
      <c r="H11" s="445"/>
      <c r="K11" s="28"/>
      <c r="L11" s="309" t="s">
        <v>49</v>
      </c>
      <c r="M11" s="323">
        <f>C7</f>
        <v>5</v>
      </c>
      <c r="N11" s="246"/>
      <c r="O11" s="309" t="s">
        <v>49</v>
      </c>
      <c r="P11" s="323">
        <f>C7</f>
        <v>5</v>
      </c>
      <c r="Q11" s="29"/>
      <c r="T11" s="182"/>
      <c r="U11" s="184"/>
      <c r="V11" s="182"/>
    </row>
    <row r="12" spans="2:22" ht="12.75">
      <c r="B12" s="426" t="s">
        <v>138</v>
      </c>
      <c r="C12" s="427"/>
      <c r="D12" s="169"/>
      <c r="E12" s="422" t="s">
        <v>128</v>
      </c>
      <c r="F12" s="423"/>
      <c r="K12" s="28"/>
      <c r="L12" s="308" t="s">
        <v>19</v>
      </c>
      <c r="M12" s="324">
        <f>((M8*$C$5)+(M9*$C$6)+(M10*$C$7))/($C$8-$C$7)</f>
        <v>372.86694444444447</v>
      </c>
      <c r="N12" s="246"/>
      <c r="O12" s="308" t="s">
        <v>19</v>
      </c>
      <c r="P12" s="324">
        <f>((P8*$C$5)+(P9*$C$6)+(P10*$C$7))/($C$8-$C$7)</f>
        <v>331.17284722222223</v>
      </c>
      <c r="Q12" s="29"/>
      <c r="T12" s="182"/>
      <c r="U12" s="184"/>
      <c r="V12" s="182"/>
    </row>
    <row r="13" spans="2:22" ht="13.5" customHeight="1" thickBot="1">
      <c r="B13" s="195" t="s">
        <v>45</v>
      </c>
      <c r="C13" s="196" t="s">
        <v>150</v>
      </c>
      <c r="D13" s="170"/>
      <c r="E13" s="424"/>
      <c r="F13" s="425"/>
      <c r="J13" s="266"/>
      <c r="K13" s="28"/>
      <c r="L13" s="310" t="s">
        <v>51</v>
      </c>
      <c r="M13" s="325">
        <f>M12*0.0909</f>
        <v>33.89360525</v>
      </c>
      <c r="N13" s="246"/>
      <c r="O13" s="310" t="s">
        <v>51</v>
      </c>
      <c r="P13" s="325">
        <f>P12*0.0909</f>
        <v>30.1036118125</v>
      </c>
      <c r="Q13" s="29"/>
      <c r="T13" s="182"/>
      <c r="U13" s="182"/>
      <c r="V13" s="182"/>
    </row>
    <row r="14" spans="2:22" ht="13.5" customHeight="1" thickBot="1">
      <c r="B14" s="197" t="s">
        <v>35</v>
      </c>
      <c r="C14" s="198">
        <v>1560499</v>
      </c>
      <c r="D14" s="176"/>
      <c r="E14" s="204">
        <v>1102</v>
      </c>
      <c r="F14" s="205"/>
      <c r="K14" s="28"/>
      <c r="L14" s="310" t="s">
        <v>20</v>
      </c>
      <c r="M14" s="325">
        <f>SUM(M12:M13)</f>
        <v>406.7605496944445</v>
      </c>
      <c r="N14" s="246"/>
      <c r="O14" s="310" t="s">
        <v>20</v>
      </c>
      <c r="P14" s="325">
        <f>SUM(P12:P13)</f>
        <v>361.2764590347222</v>
      </c>
      <c r="Q14" s="29"/>
      <c r="T14" s="182"/>
      <c r="U14" s="182"/>
      <c r="V14" s="182"/>
    </row>
    <row r="15" spans="3:17" ht="13.5" customHeight="1">
      <c r="C15" s="179"/>
      <c r="D15" s="171"/>
      <c r="K15" s="28"/>
      <c r="L15" s="310" t="s">
        <v>52</v>
      </c>
      <c r="M15" s="325">
        <f>M14*10%</f>
        <v>40.67605496944445</v>
      </c>
      <c r="N15" s="246"/>
      <c r="O15" s="310" t="s">
        <v>52</v>
      </c>
      <c r="P15" s="325">
        <f>P14/10</f>
        <v>36.12764590347222</v>
      </c>
      <c r="Q15" s="29"/>
    </row>
    <row r="16" spans="3:17" ht="13.5" customHeight="1">
      <c r="C16" s="179"/>
      <c r="K16" s="28"/>
      <c r="L16" s="306" t="s">
        <v>50</v>
      </c>
      <c r="M16" s="325">
        <f>SUM(M14:M15)</f>
        <v>447.43660466388894</v>
      </c>
      <c r="N16" s="246"/>
      <c r="O16" s="306" t="s">
        <v>50</v>
      </c>
      <c r="P16" s="325">
        <f>SUM(P14:P15)</f>
        <v>397.40410493819445</v>
      </c>
      <c r="Q16" s="29"/>
    </row>
    <row r="17" spans="3:17" ht="13.5" customHeight="1">
      <c r="C17" s="179"/>
      <c r="K17" s="28"/>
      <c r="L17" s="310" t="s">
        <v>53</v>
      </c>
      <c r="M17" s="325">
        <f>M16*5%</f>
        <v>22.371830233194448</v>
      </c>
      <c r="N17" s="246"/>
      <c r="O17" s="310" t="s">
        <v>53</v>
      </c>
      <c r="P17" s="325">
        <f>P16/20</f>
        <v>19.870205246909723</v>
      </c>
      <c r="Q17" s="29"/>
    </row>
    <row r="18" spans="3:17" ht="13.5" customHeight="1">
      <c r="C18" s="179"/>
      <c r="D18" s="179"/>
      <c r="E18" s="180"/>
      <c r="K18" s="28"/>
      <c r="L18" s="306" t="s">
        <v>21</v>
      </c>
      <c r="M18" s="325">
        <f>SUM(M16:M17)</f>
        <v>469.8084348970834</v>
      </c>
      <c r="N18" s="246"/>
      <c r="O18" s="306" t="s">
        <v>21</v>
      </c>
      <c r="P18" s="325">
        <f>SUM(P16:P17)</f>
        <v>417.2743101851042</v>
      </c>
      <c r="Q18" s="29"/>
    </row>
    <row r="19" spans="3:17" ht="13.5" customHeight="1" thickBot="1">
      <c r="C19" s="179"/>
      <c r="D19" s="179"/>
      <c r="E19" s="179"/>
      <c r="J19" s="189"/>
      <c r="K19" s="28"/>
      <c r="L19" s="313" t="s">
        <v>1</v>
      </c>
      <c r="M19" s="326">
        <v>151</v>
      </c>
      <c r="N19" s="246"/>
      <c r="O19" s="313" t="s">
        <v>1</v>
      </c>
      <c r="P19" s="326">
        <v>130</v>
      </c>
      <c r="Q19" s="29"/>
    </row>
    <row r="20" spans="3:17" ht="13.5" customHeight="1" thickBot="1">
      <c r="C20" s="179"/>
      <c r="D20" s="179"/>
      <c r="E20" s="179"/>
      <c r="J20" s="189"/>
      <c r="K20" s="28"/>
      <c r="L20" s="314" t="s">
        <v>48</v>
      </c>
      <c r="M20" s="315">
        <f>M18/M19</f>
        <v>3.111314138391281</v>
      </c>
      <c r="N20" s="312"/>
      <c r="O20" s="314" t="s">
        <v>48</v>
      </c>
      <c r="P20" s="315">
        <f>(P18/P19)-0.0001</f>
        <v>3.209702386039263</v>
      </c>
      <c r="Q20" s="29"/>
    </row>
    <row r="21" spans="3:17" ht="13.5" customHeight="1">
      <c r="C21" s="179"/>
      <c r="D21" s="179"/>
      <c r="E21" s="179"/>
      <c r="K21" s="30"/>
      <c r="L21" s="31"/>
      <c r="M21" s="31"/>
      <c r="N21" s="31"/>
      <c r="O21" s="31"/>
      <c r="P21" s="31"/>
      <c r="Q21" s="32"/>
    </row>
    <row r="22" spans="4:16" ht="13.5" customHeight="1">
      <c r="D22" s="179"/>
      <c r="E22" s="179"/>
      <c r="L22" s="449" t="s">
        <v>134</v>
      </c>
      <c r="M22" s="449"/>
      <c r="N22" s="449"/>
      <c r="O22" s="449"/>
      <c r="P22" s="449"/>
    </row>
    <row r="23" ht="13.5" customHeight="1">
      <c r="D23" s="179"/>
    </row>
    <row r="24" ht="13.5" customHeight="1">
      <c r="D24" s="179"/>
    </row>
    <row r="25" spans="7:13" ht="13.5" customHeight="1">
      <c r="G25" s="421"/>
      <c r="H25" s="421"/>
      <c r="I25" s="421"/>
      <c r="J25" s="421"/>
      <c r="K25" s="421"/>
      <c r="L25" s="421"/>
      <c r="M25" s="421"/>
    </row>
    <row r="27" spans="9:13" ht="12">
      <c r="I27" s="175"/>
      <c r="J27" s="27"/>
      <c r="K27" s="174"/>
      <c r="L27" s="175"/>
      <c r="M27" s="177"/>
    </row>
    <row r="34" spans="7:8" ht="12">
      <c r="G34" s="189"/>
      <c r="H34" s="189"/>
    </row>
    <row r="35" spans="7:8" ht="12">
      <c r="G35" s="189"/>
      <c r="H35" s="189"/>
    </row>
    <row r="47" ht="12">
      <c r="M47" s="123"/>
    </row>
  </sheetData>
  <sheetProtection/>
  <mergeCells count="16">
    <mergeCell ref="E9:F9"/>
    <mergeCell ref="G11:H11"/>
    <mergeCell ref="G3:I3"/>
    <mergeCell ref="E8:F8"/>
    <mergeCell ref="O4:P4"/>
    <mergeCell ref="L22:P22"/>
    <mergeCell ref="G25:M25"/>
    <mergeCell ref="E12:F13"/>
    <mergeCell ref="B12:C12"/>
    <mergeCell ref="E10:F10"/>
    <mergeCell ref="L4:M4"/>
    <mergeCell ref="K2:Q2"/>
    <mergeCell ref="B2:I2"/>
    <mergeCell ref="B11:C11"/>
    <mergeCell ref="B4:C4"/>
    <mergeCell ref="D3:F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3"/>
  <ignoredErrors>
    <ignoredError sqref="M15 M17 P15 P1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50"/>
  <sheetViews>
    <sheetView showGridLines="0" zoomScale="115" zoomScaleNormal="115" zoomScalePageLayoutView="0" workbookViewId="0" topLeftCell="C1">
      <selection activeCell="N9" sqref="N9"/>
    </sheetView>
  </sheetViews>
  <sheetFormatPr defaultColWidth="9.00390625" defaultRowHeight="12.75"/>
  <cols>
    <col min="1" max="1" width="5.625" style="1" customWidth="1"/>
    <col min="2" max="2" width="10.625" style="1" customWidth="1"/>
    <col min="3" max="7" width="9.625" style="1" customWidth="1"/>
    <col min="8" max="8" width="10.625" style="1" customWidth="1"/>
    <col min="9" max="9" width="6.375" style="1" customWidth="1"/>
    <col min="10" max="10" width="20.625" style="1" customWidth="1"/>
    <col min="11" max="11" width="11.375" style="1" customWidth="1"/>
    <col min="12" max="12" width="6.875" style="1" bestFit="1" customWidth="1"/>
    <col min="13" max="13" width="20.625" style="1" customWidth="1"/>
    <col min="14" max="14" width="14.375" style="1" customWidth="1"/>
    <col min="15" max="15" width="11.875" style="1" bestFit="1" customWidth="1"/>
    <col min="16" max="16" width="22.50390625" style="1" customWidth="1"/>
    <col min="17" max="17" width="12.50390625" style="1" customWidth="1"/>
    <col min="18" max="16384" width="9.00390625" style="1" customWidth="1"/>
  </cols>
  <sheetData>
    <row r="1" ht="12" thickBot="1"/>
    <row r="2" spans="2:10" s="2" customFormat="1" ht="13.5" customHeight="1" thickBot="1">
      <c r="B2" s="452" t="s">
        <v>136</v>
      </c>
      <c r="C2" s="453"/>
      <c r="D2" s="453"/>
      <c r="E2" s="453"/>
      <c r="F2" s="453"/>
      <c r="G2" s="453"/>
      <c r="H2" s="454"/>
      <c r="I2" s="8"/>
      <c r="J2" s="12"/>
    </row>
    <row r="3" spans="2:16" s="2" customFormat="1" ht="13.5" customHeight="1">
      <c r="B3" s="474"/>
      <c r="C3" s="475"/>
      <c r="D3" s="14" t="s">
        <v>36</v>
      </c>
      <c r="E3" s="15" t="s">
        <v>126</v>
      </c>
      <c r="F3" s="15" t="s">
        <v>37</v>
      </c>
      <c r="G3" s="15" t="s">
        <v>38</v>
      </c>
      <c r="H3" s="269" t="s">
        <v>39</v>
      </c>
      <c r="I3" s="128"/>
      <c r="J3" s="462" t="s">
        <v>151</v>
      </c>
      <c r="K3" s="463"/>
      <c r="M3" s="145"/>
      <c r="N3" s="145"/>
      <c r="O3" s="145"/>
      <c r="P3" s="145"/>
    </row>
    <row r="4" spans="2:16" s="2" customFormat="1" ht="13.5" customHeight="1">
      <c r="B4" s="476" t="s">
        <v>32</v>
      </c>
      <c r="C4" s="477"/>
      <c r="D4" s="273">
        <v>300000</v>
      </c>
      <c r="E4" s="276">
        <v>334000</v>
      </c>
      <c r="F4" s="13">
        <f>SUM(D4:E4)</f>
        <v>634000</v>
      </c>
      <c r="G4" s="13">
        <f>6*K17</f>
        <v>11549.82</v>
      </c>
      <c r="H4" s="270">
        <f>F4-G4</f>
        <v>622450.18</v>
      </c>
      <c r="I4" s="455" t="s">
        <v>134</v>
      </c>
      <c r="J4" s="252" t="s">
        <v>85</v>
      </c>
      <c r="K4" s="253">
        <v>2685.08</v>
      </c>
      <c r="L4" s="144">
        <v>45292</v>
      </c>
      <c r="M4" s="456"/>
      <c r="N4" s="456"/>
      <c r="O4" s="147"/>
      <c r="P4" s="145"/>
    </row>
    <row r="5" spans="2:12" s="2" customFormat="1" ht="13.5" customHeight="1">
      <c r="B5" s="476" t="s">
        <v>40</v>
      </c>
      <c r="C5" s="477"/>
      <c r="D5" s="274">
        <v>340000</v>
      </c>
      <c r="E5" s="277">
        <v>367000</v>
      </c>
      <c r="F5" s="13">
        <f>SUM(D5:E5)</f>
        <v>707000</v>
      </c>
      <c r="G5" s="13">
        <f>6*K17</f>
        <v>11549.82</v>
      </c>
      <c r="H5" s="270">
        <f>F5-G5</f>
        <v>695450.18</v>
      </c>
      <c r="I5" s="455"/>
      <c r="J5" s="252" t="s">
        <v>85</v>
      </c>
      <c r="K5" s="253">
        <v>2685.08</v>
      </c>
      <c r="L5" s="147"/>
    </row>
    <row r="6" spans="2:12" s="2" customFormat="1" ht="13.5" customHeight="1" thickBot="1">
      <c r="B6" s="459" t="s">
        <v>26</v>
      </c>
      <c r="C6" s="460"/>
      <c r="D6" s="275">
        <v>812000</v>
      </c>
      <c r="E6" s="278">
        <v>748000</v>
      </c>
      <c r="F6" s="271">
        <f>SUM(D6:E6)</f>
        <v>1560000</v>
      </c>
      <c r="G6" s="271">
        <f>10*K18</f>
        <v>21224.1</v>
      </c>
      <c r="H6" s="272">
        <f>F6-G6</f>
        <v>1538775.9</v>
      </c>
      <c r="I6" s="455"/>
      <c r="J6" s="254" t="s">
        <v>47</v>
      </c>
      <c r="K6" s="253">
        <v>1608.46</v>
      </c>
      <c r="L6" s="144">
        <v>45292</v>
      </c>
    </row>
    <row r="7" spans="2:15" s="2" customFormat="1" ht="13.5" customHeight="1" thickBot="1">
      <c r="B7" s="16"/>
      <c r="C7" s="16"/>
      <c r="D7" s="17"/>
      <c r="E7" s="17" t="s">
        <v>127</v>
      </c>
      <c r="F7" s="17"/>
      <c r="G7" s="17"/>
      <c r="H7" s="265"/>
      <c r="I7" s="18"/>
      <c r="J7" s="263" t="s">
        <v>98</v>
      </c>
      <c r="K7" s="264">
        <v>0.423893</v>
      </c>
      <c r="M7" s="457" t="s">
        <v>107</v>
      </c>
      <c r="N7" s="458"/>
      <c r="O7" s="147"/>
    </row>
    <row r="8" spans="2:15" s="2" customFormat="1" ht="13.5" customHeight="1" thickBot="1">
      <c r="B8" s="417" t="s">
        <v>41</v>
      </c>
      <c r="C8" s="418" t="s">
        <v>25</v>
      </c>
      <c r="D8" s="419" t="s">
        <v>40</v>
      </c>
      <c r="E8" s="419" t="s">
        <v>32</v>
      </c>
      <c r="F8" s="419" t="s">
        <v>26</v>
      </c>
      <c r="G8" s="420" t="s">
        <v>42</v>
      </c>
      <c r="H8" s="17"/>
      <c r="I8" s="17"/>
      <c r="J8" s="255"/>
      <c r="K8" s="208"/>
      <c r="M8" s="206" t="s">
        <v>122</v>
      </c>
      <c r="N8" s="279">
        <v>4.3746</v>
      </c>
      <c r="O8" s="144"/>
    </row>
    <row r="9" spans="2:15" s="2" customFormat="1" ht="13.5" customHeight="1">
      <c r="B9" s="394">
        <v>2024</v>
      </c>
      <c r="C9" s="22">
        <v>0</v>
      </c>
      <c r="D9" s="19">
        <v>0</v>
      </c>
      <c r="E9" s="19">
        <v>0</v>
      </c>
      <c r="F9" s="19">
        <v>0</v>
      </c>
      <c r="G9" s="395">
        <f aca="true" t="shared" si="0" ref="G9:G14">SUM(C9:F9)</f>
        <v>0</v>
      </c>
      <c r="H9" s="17"/>
      <c r="I9" s="17"/>
      <c r="J9" s="462" t="s">
        <v>154</v>
      </c>
      <c r="K9" s="463"/>
      <c r="L9" s="8"/>
      <c r="M9" s="206" t="s">
        <v>123</v>
      </c>
      <c r="N9" s="208"/>
      <c r="O9" s="147"/>
    </row>
    <row r="10" spans="2:15" s="3" customFormat="1" ht="13.5" customHeight="1" thickBot="1">
      <c r="B10" s="394">
        <v>2023</v>
      </c>
      <c r="C10" s="22">
        <v>0</v>
      </c>
      <c r="D10" s="19">
        <v>0</v>
      </c>
      <c r="E10" s="19">
        <v>0</v>
      </c>
      <c r="F10" s="19">
        <v>0</v>
      </c>
      <c r="G10" s="395">
        <f t="shared" si="0"/>
        <v>0</v>
      </c>
      <c r="H10" s="158"/>
      <c r="I10" s="17"/>
      <c r="J10" s="478" t="s">
        <v>99</v>
      </c>
      <c r="K10" s="469">
        <v>886.93</v>
      </c>
      <c r="L10" s="35"/>
      <c r="M10" s="209"/>
      <c r="N10" s="210"/>
      <c r="O10" s="148"/>
    </row>
    <row r="11" spans="2:15" s="2" customFormat="1" ht="13.5" customHeight="1" thickBot="1">
      <c r="B11" s="394">
        <v>2022</v>
      </c>
      <c r="C11" s="22">
        <v>0</v>
      </c>
      <c r="D11" s="19">
        <v>0</v>
      </c>
      <c r="E11" s="19">
        <v>0</v>
      </c>
      <c r="F11" s="19">
        <v>0</v>
      </c>
      <c r="G11" s="395">
        <f t="shared" si="0"/>
        <v>0</v>
      </c>
      <c r="H11" s="121"/>
      <c r="I11" s="121"/>
      <c r="J11" s="479"/>
      <c r="K11" s="470"/>
      <c r="L11" s="35"/>
      <c r="M11" s="457" t="s">
        <v>108</v>
      </c>
      <c r="N11" s="458"/>
      <c r="O11" s="147"/>
    </row>
    <row r="12" spans="2:15" s="2" customFormat="1" ht="13.5" customHeight="1" thickBot="1">
      <c r="B12" s="394">
        <v>2021</v>
      </c>
      <c r="C12" s="22">
        <v>0</v>
      </c>
      <c r="D12" s="19">
        <v>0</v>
      </c>
      <c r="E12" s="19">
        <v>0</v>
      </c>
      <c r="F12" s="19">
        <v>0</v>
      </c>
      <c r="G12" s="395">
        <f t="shared" si="0"/>
        <v>0</v>
      </c>
      <c r="H12" s="8"/>
      <c r="I12" s="8"/>
      <c r="J12" s="255"/>
      <c r="K12" s="208"/>
      <c r="L12" s="35"/>
      <c r="M12" s="211" t="s">
        <v>106</v>
      </c>
      <c r="N12" s="207">
        <v>2.2</v>
      </c>
      <c r="O12" s="144"/>
    </row>
    <row r="13" spans="2:15" s="2" customFormat="1" ht="13.5" customHeight="1" thickBot="1">
      <c r="B13" s="394">
        <v>2020</v>
      </c>
      <c r="C13" s="22">
        <v>0</v>
      </c>
      <c r="D13" s="19">
        <v>22</v>
      </c>
      <c r="E13" s="19">
        <v>9</v>
      </c>
      <c r="F13" s="19">
        <v>0</v>
      </c>
      <c r="G13" s="395">
        <f t="shared" si="0"/>
        <v>31</v>
      </c>
      <c r="H13" s="8"/>
      <c r="I13" s="26"/>
      <c r="J13" s="462"/>
      <c r="K13" s="463"/>
      <c r="L13" s="35"/>
      <c r="M13" s="212"/>
      <c r="N13" s="213"/>
      <c r="O13" s="149"/>
    </row>
    <row r="14" spans="2:12" s="2" customFormat="1" ht="13.5" customHeight="1" thickBot="1">
      <c r="B14" s="394">
        <v>2019</v>
      </c>
      <c r="C14" s="22">
        <v>0</v>
      </c>
      <c r="D14" s="19">
        <v>30</v>
      </c>
      <c r="E14" s="19">
        <v>0</v>
      </c>
      <c r="F14" s="19">
        <v>0</v>
      </c>
      <c r="G14" s="395">
        <f t="shared" si="0"/>
        <v>30</v>
      </c>
      <c r="H14" s="8"/>
      <c r="I14" s="26"/>
      <c r="J14" s="261"/>
      <c r="K14" s="262"/>
      <c r="L14" s="173"/>
    </row>
    <row r="15" spans="2:15" s="2" customFormat="1" ht="13.5" customHeight="1" thickBot="1">
      <c r="B15" s="394">
        <v>2018</v>
      </c>
      <c r="C15" s="22">
        <v>0</v>
      </c>
      <c r="D15" s="19">
        <v>7</v>
      </c>
      <c r="E15" s="19">
        <v>10</v>
      </c>
      <c r="F15" s="19">
        <v>0</v>
      </c>
      <c r="G15" s="395">
        <f aca="true" t="shared" si="1" ref="G15:G22">SUM(C15:F15)</f>
        <v>17</v>
      </c>
      <c r="H15" s="8"/>
      <c r="I15" s="26"/>
      <c r="J15" s="255"/>
      <c r="K15" s="208"/>
      <c r="L15" s="35"/>
      <c r="M15" s="192"/>
      <c r="N15" s="150"/>
      <c r="O15" s="145"/>
    </row>
    <row r="16" spans="2:15" s="2" customFormat="1" ht="13.5" customHeight="1">
      <c r="B16" s="394">
        <v>2017</v>
      </c>
      <c r="C16" s="22">
        <v>0</v>
      </c>
      <c r="D16" s="19">
        <v>25</v>
      </c>
      <c r="E16" s="19">
        <v>3</v>
      </c>
      <c r="F16" s="19">
        <v>0</v>
      </c>
      <c r="G16" s="395">
        <f t="shared" si="1"/>
        <v>28</v>
      </c>
      <c r="H16" s="8"/>
      <c r="I16" s="8"/>
      <c r="J16" s="464" t="s">
        <v>89</v>
      </c>
      <c r="K16" s="465"/>
      <c r="M16" s="192"/>
      <c r="N16" s="146"/>
      <c r="O16" s="145"/>
    </row>
    <row r="17" spans="2:15" s="2" customFormat="1" ht="13.5" customHeight="1">
      <c r="B17" s="394">
        <v>2016</v>
      </c>
      <c r="C17" s="22">
        <v>0</v>
      </c>
      <c r="D17" s="19">
        <v>3</v>
      </c>
      <c r="E17" s="19">
        <v>0</v>
      </c>
      <c r="F17" s="19">
        <v>1</v>
      </c>
      <c r="G17" s="395">
        <f t="shared" si="1"/>
        <v>4</v>
      </c>
      <c r="H17" s="8"/>
      <c r="I17" s="8"/>
      <c r="J17" s="256" t="s">
        <v>90</v>
      </c>
      <c r="K17" s="257">
        <v>1924.97</v>
      </c>
      <c r="L17" s="451"/>
      <c r="M17" s="188"/>
      <c r="N17" s="473"/>
      <c r="O17" s="473"/>
    </row>
    <row r="18" spans="2:15" s="2" customFormat="1" ht="13.5" customHeight="1">
      <c r="B18" s="394">
        <v>2015</v>
      </c>
      <c r="C18" s="22">
        <v>0</v>
      </c>
      <c r="D18" s="19">
        <v>2</v>
      </c>
      <c r="E18" s="19">
        <v>0</v>
      </c>
      <c r="F18" s="19">
        <v>0</v>
      </c>
      <c r="G18" s="395">
        <f t="shared" si="1"/>
        <v>2</v>
      </c>
      <c r="H18" s="8"/>
      <c r="I18" s="8"/>
      <c r="J18" s="258" t="s">
        <v>91</v>
      </c>
      <c r="K18" s="257">
        <v>2122.41</v>
      </c>
      <c r="L18" s="451"/>
      <c r="M18" s="188"/>
      <c r="N18" s="473"/>
      <c r="O18" s="473"/>
    </row>
    <row r="19" spans="2:15" s="2" customFormat="1" ht="13.5" customHeight="1">
      <c r="B19" s="394">
        <v>2014</v>
      </c>
      <c r="C19" s="23">
        <v>0</v>
      </c>
      <c r="D19" s="20">
        <v>8</v>
      </c>
      <c r="E19" s="20">
        <v>0</v>
      </c>
      <c r="F19" s="20">
        <v>1</v>
      </c>
      <c r="G19" s="395">
        <f t="shared" si="1"/>
        <v>9</v>
      </c>
      <c r="H19" s="8"/>
      <c r="I19" s="8"/>
      <c r="J19" s="258" t="s">
        <v>92</v>
      </c>
      <c r="K19" s="257">
        <v>545</v>
      </c>
      <c r="L19" s="450"/>
      <c r="M19" s="188"/>
      <c r="N19" s="473"/>
      <c r="O19" s="473"/>
    </row>
    <row r="20" spans="2:15" s="2" customFormat="1" ht="13.5" customHeight="1" thickBot="1">
      <c r="B20" s="394">
        <v>2013</v>
      </c>
      <c r="C20" s="23">
        <v>0</v>
      </c>
      <c r="D20" s="251">
        <v>23</v>
      </c>
      <c r="E20" s="251">
        <v>2</v>
      </c>
      <c r="F20" s="251">
        <v>8</v>
      </c>
      <c r="G20" s="395">
        <f t="shared" si="1"/>
        <v>33</v>
      </c>
      <c r="H20" s="8"/>
      <c r="I20" s="8"/>
      <c r="J20" s="259" t="s">
        <v>93</v>
      </c>
      <c r="K20" s="260">
        <v>585</v>
      </c>
      <c r="L20" s="450"/>
      <c r="M20" s="188"/>
      <c r="N20" s="473"/>
      <c r="O20" s="473"/>
    </row>
    <row r="21" spans="2:15" s="2" customFormat="1" ht="13.5" customHeight="1">
      <c r="B21" s="396">
        <v>2012</v>
      </c>
      <c r="C21" s="186">
        <v>0</v>
      </c>
      <c r="D21" s="251">
        <v>10</v>
      </c>
      <c r="E21" s="251">
        <v>15</v>
      </c>
      <c r="F21" s="251">
        <v>4</v>
      </c>
      <c r="G21" s="397">
        <f t="shared" si="1"/>
        <v>29</v>
      </c>
      <c r="H21" s="8"/>
      <c r="I21" s="8"/>
      <c r="J21" s="8"/>
      <c r="K21" s="168"/>
      <c r="L21" s="27"/>
      <c r="M21" s="188"/>
      <c r="N21" s="473"/>
      <c r="O21" s="473"/>
    </row>
    <row r="22" spans="2:15" s="2" customFormat="1" ht="13.5" customHeight="1" thickBot="1">
      <c r="B22" s="396">
        <v>2011</v>
      </c>
      <c r="C22" s="186">
        <v>0</v>
      </c>
      <c r="D22" s="187">
        <v>0</v>
      </c>
      <c r="E22" s="187">
        <v>0</v>
      </c>
      <c r="F22" s="187">
        <v>0</v>
      </c>
      <c r="G22" s="397">
        <f t="shared" si="1"/>
        <v>0</v>
      </c>
      <c r="H22" s="8"/>
      <c r="I22" s="8"/>
      <c r="J22" s="471" t="s">
        <v>135</v>
      </c>
      <c r="K22" s="471"/>
      <c r="L22" s="27"/>
      <c r="M22" s="188"/>
      <c r="N22" s="473"/>
      <c r="O22" s="473"/>
    </row>
    <row r="23" spans="2:19" s="2" customFormat="1" ht="15" customHeight="1">
      <c r="B23" s="396">
        <v>2010</v>
      </c>
      <c r="C23" s="186">
        <v>0</v>
      </c>
      <c r="D23" s="416">
        <v>0</v>
      </c>
      <c r="E23" s="416">
        <v>0</v>
      </c>
      <c r="F23" s="19">
        <v>0</v>
      </c>
      <c r="G23" s="397">
        <v>0</v>
      </c>
      <c r="H23" s="8"/>
      <c r="I23" s="8"/>
      <c r="J23" s="464" t="s">
        <v>86</v>
      </c>
      <c r="K23" s="465"/>
      <c r="L23" s="27"/>
      <c r="M23" s="188"/>
      <c r="N23" s="473"/>
      <c r="O23" s="473"/>
      <c r="P23"/>
      <c r="Q23" s="139"/>
      <c r="R23" s="139"/>
      <c r="S23" s="132"/>
    </row>
    <row r="24" spans="2:19" s="2" customFormat="1" ht="9.75" customHeight="1">
      <c r="B24" s="398" t="s">
        <v>22</v>
      </c>
      <c r="C24" s="24">
        <f>SUM(C10:C23)</f>
        <v>0</v>
      </c>
      <c r="D24" s="21">
        <f>SUM(D10:D19)</f>
        <v>97</v>
      </c>
      <c r="E24" s="21">
        <f>SUM(E10:E19)</f>
        <v>22</v>
      </c>
      <c r="F24" s="21">
        <f>SUM(F11:F19)</f>
        <v>2</v>
      </c>
      <c r="G24" s="399">
        <f>SUM(C24:F24)</f>
        <v>121</v>
      </c>
      <c r="H24" s="8"/>
      <c r="I24" s="8"/>
      <c r="J24" s="256" t="s">
        <v>87</v>
      </c>
      <c r="K24" s="334">
        <v>196</v>
      </c>
      <c r="L24" s="27"/>
      <c r="M24" s="188"/>
      <c r="N24" s="473"/>
      <c r="O24" s="473"/>
      <c r="P24" s="133"/>
      <c r="Q24" s="132"/>
      <c r="R24" s="132"/>
      <c r="S24" s="132"/>
    </row>
    <row r="25" spans="2:19" s="2" customFormat="1" ht="10.5" customHeight="1">
      <c r="B25" s="400"/>
      <c r="C25" s="393"/>
      <c r="D25" s="393"/>
      <c r="E25" s="468" t="s">
        <v>130</v>
      </c>
      <c r="F25" s="468"/>
      <c r="G25" s="401"/>
      <c r="H25" s="8"/>
      <c r="I25" s="8"/>
      <c r="J25" s="258" t="s">
        <v>103</v>
      </c>
      <c r="K25" s="335">
        <v>90.94</v>
      </c>
      <c r="L25" s="25"/>
      <c r="M25" s="188"/>
      <c r="N25" s="473"/>
      <c r="O25" s="473"/>
      <c r="P25" s="133"/>
      <c r="Q25" s="132"/>
      <c r="R25" s="132"/>
      <c r="S25" s="132"/>
    </row>
    <row r="26" spans="2:22" s="2" customFormat="1" ht="13.5" customHeight="1">
      <c r="B26" s="466" t="s">
        <v>124</v>
      </c>
      <c r="C26" s="467"/>
      <c r="D26" s="402"/>
      <c r="E26" s="402"/>
      <c r="F26" s="402"/>
      <c r="G26" s="403"/>
      <c r="H26" s="158"/>
      <c r="I26" s="26"/>
      <c r="J26" s="258" t="s">
        <v>104</v>
      </c>
      <c r="K26" s="335">
        <f>163.85*12</f>
        <v>1966.1999999999998</v>
      </c>
      <c r="L26" s="268"/>
      <c r="M26" s="188"/>
      <c r="N26" s="145"/>
      <c r="O26" s="145"/>
      <c r="P26" s="131"/>
      <c r="Q26" s="132"/>
      <c r="R26" s="132"/>
      <c r="S26" s="132"/>
      <c r="T26" s="134"/>
      <c r="U26" s="134"/>
      <c r="V26" s="135"/>
    </row>
    <row r="27" spans="2:19" s="2" customFormat="1" ht="15" customHeight="1" thickBot="1">
      <c r="B27" s="404" t="s">
        <v>54</v>
      </c>
      <c r="C27" s="33">
        <v>0</v>
      </c>
      <c r="D27" s="34">
        <v>116</v>
      </c>
      <c r="E27" s="34">
        <v>21</v>
      </c>
      <c r="F27" s="34">
        <v>14</v>
      </c>
      <c r="G27" s="405">
        <f>SUM(C27:F27)</f>
        <v>151</v>
      </c>
      <c r="H27" s="8"/>
      <c r="I27" s="8"/>
      <c r="J27" s="259" t="s">
        <v>88</v>
      </c>
      <c r="K27" s="336">
        <f>K26+K25</f>
        <v>2057.14</v>
      </c>
      <c r="L27" s="25"/>
      <c r="M27" s="188"/>
      <c r="N27" s="145"/>
      <c r="O27" s="145"/>
      <c r="P27" s="133"/>
      <c r="Q27" s="132"/>
      <c r="R27" s="132"/>
      <c r="S27" s="132"/>
    </row>
    <row r="28" spans="2:19" s="2" customFormat="1" ht="12.75">
      <c r="B28" s="406"/>
      <c r="C28" s="407"/>
      <c r="D28" s="407"/>
      <c r="E28" s="407"/>
      <c r="F28" s="407"/>
      <c r="G28" s="408"/>
      <c r="H28" s="1"/>
      <c r="I28" s="1"/>
      <c r="J28" s="35"/>
      <c r="K28" s="333" t="s">
        <v>105</v>
      </c>
      <c r="M28" s="145"/>
      <c r="N28" s="145"/>
      <c r="O28" s="145"/>
      <c r="P28" s="133"/>
      <c r="Q28" s="132"/>
      <c r="R28" s="132"/>
      <c r="S28" s="132"/>
    </row>
    <row r="29" spans="2:19" ht="12.75">
      <c r="B29" s="409" t="s">
        <v>43</v>
      </c>
      <c r="C29" s="193">
        <f>IF(C24=0,0,((C13*(2019-$B$13))+(C14*(2019-$B$14))+(C15*(2019-$B15))+(C16*(2019-$B16))+(C17*(2019-$B17))+(C18*(2019-$B18))+(C19*(2019-$B19))+(C20*(2019-$B20))+(C21*(2019-$B21))+(C22*(2019-$B22))+(C23*(2019-$B23)))/C24)</f>
        <v>0</v>
      </c>
      <c r="D29" s="193">
        <v>5.95</v>
      </c>
      <c r="E29" s="193">
        <v>5.32</v>
      </c>
      <c r="F29" s="193">
        <v>9</v>
      </c>
      <c r="G29" s="410">
        <v>5.88</v>
      </c>
      <c r="J29" s="190" t="s">
        <v>94</v>
      </c>
      <c r="K29" s="191" t="s">
        <v>105</v>
      </c>
      <c r="M29" s="145"/>
      <c r="N29" s="145"/>
      <c r="O29" s="151"/>
      <c r="P29" s="133"/>
      <c r="Q29" s="132"/>
      <c r="R29" s="132"/>
      <c r="S29" s="132"/>
    </row>
    <row r="30" spans="2:19" ht="12.75">
      <c r="B30" s="404" t="s">
        <v>121</v>
      </c>
      <c r="C30" s="165"/>
      <c r="D30" s="166">
        <v>0</v>
      </c>
      <c r="E30" s="166">
        <f>((E24-E27)/E24)</f>
        <v>0.045454545454545456</v>
      </c>
      <c r="F30" s="166">
        <v>0</v>
      </c>
      <c r="G30" s="411">
        <v>0</v>
      </c>
      <c r="J30" s="50" t="s">
        <v>95</v>
      </c>
      <c r="K30" s="155">
        <v>0</v>
      </c>
      <c r="M30" s="152"/>
      <c r="N30" s="145"/>
      <c r="O30" s="151"/>
      <c r="P30" s="133"/>
      <c r="Q30" s="132"/>
      <c r="R30" s="132"/>
      <c r="S30" s="132"/>
    </row>
    <row r="31" spans="2:19" ht="13.5" thickBot="1">
      <c r="B31" s="412"/>
      <c r="C31" s="413"/>
      <c r="D31" s="414" t="s">
        <v>155</v>
      </c>
      <c r="E31" s="414"/>
      <c r="F31" s="413"/>
      <c r="G31" s="415"/>
      <c r="J31" s="50" t="s">
        <v>100</v>
      </c>
      <c r="K31" s="155">
        <v>0</v>
      </c>
      <c r="M31" s="144"/>
      <c r="N31" s="151"/>
      <c r="O31" s="151"/>
      <c r="P31" s="131"/>
      <c r="Q31" s="132"/>
      <c r="R31" s="132"/>
      <c r="S31" s="132"/>
    </row>
    <row r="32" spans="6:19" ht="12.75">
      <c r="F32" s="159"/>
      <c r="J32" s="50" t="s">
        <v>101</v>
      </c>
      <c r="K32" s="155">
        <v>0</v>
      </c>
      <c r="M32" s="151"/>
      <c r="N32" s="151"/>
      <c r="O32" s="151"/>
      <c r="P32" s="133"/>
      <c r="Q32" s="132"/>
      <c r="R32" s="132"/>
      <c r="S32" s="132"/>
    </row>
    <row r="33" spans="2:19" ht="12.75">
      <c r="B33" s="185" t="s">
        <v>125</v>
      </c>
      <c r="C33" s="185"/>
      <c r="D33" s="185"/>
      <c r="J33" s="51" t="s">
        <v>102</v>
      </c>
      <c r="K33" s="155">
        <v>0</v>
      </c>
      <c r="M33" s="151"/>
      <c r="N33" s="151"/>
      <c r="O33" s="151"/>
      <c r="P33" s="133"/>
      <c r="Q33" s="132"/>
      <c r="R33" s="132"/>
      <c r="S33" s="132"/>
    </row>
    <row r="34" spans="2:19" ht="15">
      <c r="B34" s="162" t="s">
        <v>119</v>
      </c>
      <c r="C34" s="162" t="s">
        <v>111</v>
      </c>
      <c r="D34" s="162" t="s">
        <v>112</v>
      </c>
      <c r="E34" s="162" t="s">
        <v>21</v>
      </c>
      <c r="J34" s="51" t="s">
        <v>118</v>
      </c>
      <c r="K34" s="155">
        <v>0</v>
      </c>
      <c r="M34" s="153"/>
      <c r="N34" s="151"/>
      <c r="O34" s="151"/>
      <c r="P34" s="131"/>
      <c r="Q34" s="132"/>
      <c r="R34" s="132"/>
      <c r="S34" s="132"/>
    </row>
    <row r="35" spans="2:15" ht="12.75">
      <c r="B35" s="163" t="s">
        <v>26</v>
      </c>
      <c r="C35" s="164">
        <v>20</v>
      </c>
      <c r="D35" s="164">
        <v>0</v>
      </c>
      <c r="E35" s="164">
        <f>D35+C35</f>
        <v>20</v>
      </c>
      <c r="J35" s="52" t="s">
        <v>88</v>
      </c>
      <c r="K35" s="156">
        <v>0</v>
      </c>
      <c r="M35" s="167"/>
      <c r="N35" s="151"/>
      <c r="O35" s="151"/>
    </row>
    <row r="36" spans="2:15" ht="12.75">
      <c r="B36" s="163" t="s">
        <v>113</v>
      </c>
      <c r="C36" s="164">
        <v>156</v>
      </c>
      <c r="D36" s="164">
        <v>0</v>
      </c>
      <c r="E36" s="164">
        <f>D36+C36</f>
        <v>156</v>
      </c>
      <c r="J36" s="144"/>
      <c r="K36" s="154"/>
      <c r="M36" s="156"/>
      <c r="N36" s="151"/>
      <c r="O36" s="151"/>
    </row>
    <row r="37" spans="2:15" ht="12.75">
      <c r="B37" s="163" t="s">
        <v>114</v>
      </c>
      <c r="C37" s="164">
        <v>41</v>
      </c>
      <c r="D37" s="164">
        <v>0</v>
      </c>
      <c r="E37" s="164">
        <f>D37+C37</f>
        <v>41</v>
      </c>
      <c r="M37" s="151"/>
      <c r="N37" s="151"/>
      <c r="O37" s="151"/>
    </row>
    <row r="38" spans="13:21" ht="12.75">
      <c r="M38" s="151"/>
      <c r="N38" s="151"/>
      <c r="O38" s="151"/>
      <c r="Q38" s="136"/>
      <c r="R38" s="136"/>
      <c r="S38" s="136"/>
      <c r="T38" s="137"/>
      <c r="U38" s="137"/>
    </row>
    <row r="39" spans="2:5" ht="15">
      <c r="B39" s="162" t="s">
        <v>119</v>
      </c>
      <c r="C39" s="162" t="s">
        <v>111</v>
      </c>
      <c r="D39" s="162" t="s">
        <v>112</v>
      </c>
      <c r="E39" s="162" t="s">
        <v>21</v>
      </c>
    </row>
    <row r="40" spans="2:21" ht="12.75">
      <c r="B40" s="163" t="s">
        <v>26</v>
      </c>
      <c r="C40" s="139">
        <f>C35/E35</f>
        <v>1</v>
      </c>
      <c r="D40" s="139">
        <f>D35/E35</f>
        <v>0</v>
      </c>
      <c r="E40" s="164">
        <f>D40+C40</f>
        <v>1</v>
      </c>
      <c r="J40" s="461"/>
      <c r="Q40" s="136"/>
      <c r="R40" s="136"/>
      <c r="S40" s="136"/>
      <c r="T40" s="137"/>
      <c r="U40" s="137"/>
    </row>
    <row r="41" spans="2:10" ht="12.75" customHeight="1">
      <c r="B41" s="163" t="s">
        <v>113</v>
      </c>
      <c r="C41" s="139">
        <f>C36/E36</f>
        <v>1</v>
      </c>
      <c r="D41" s="139">
        <f>D36/E36</f>
        <v>0</v>
      </c>
      <c r="E41" s="164">
        <f>D41+C41</f>
        <v>1</v>
      </c>
      <c r="J41" s="461"/>
    </row>
    <row r="42" spans="2:10" ht="12.75" customHeight="1">
      <c r="B42" s="163" t="s">
        <v>114</v>
      </c>
      <c r="C42" s="139">
        <f>C37/E37</f>
        <v>1</v>
      </c>
      <c r="D42" s="139">
        <f>D37/E37</f>
        <v>0</v>
      </c>
      <c r="E42" s="164">
        <f>D42+C42</f>
        <v>1</v>
      </c>
      <c r="J42" s="461"/>
    </row>
    <row r="43" spans="9:11" ht="12.75" customHeight="1">
      <c r="I43" s="26"/>
      <c r="J43" s="461"/>
      <c r="K43" s="26"/>
    </row>
    <row r="44" spans="10:11" ht="12.75" customHeight="1">
      <c r="J44" s="461"/>
      <c r="K44" s="137"/>
    </row>
    <row r="45" ht="12.75" customHeight="1">
      <c r="J45" s="461"/>
    </row>
    <row r="48" spans="8:11" ht="11.25">
      <c r="H48" s="157"/>
      <c r="K48" s="129"/>
    </row>
    <row r="49" spans="3:8" ht="11.25">
      <c r="C49" s="472"/>
      <c r="D49" s="472"/>
      <c r="E49" s="17"/>
      <c r="F49" s="17"/>
      <c r="H49" s="157"/>
    </row>
    <row r="50" spans="3:8" ht="11.25">
      <c r="C50" s="472"/>
      <c r="D50" s="472"/>
      <c r="E50" s="17"/>
      <c r="F50" s="17"/>
      <c r="H50" s="157"/>
    </row>
  </sheetData>
  <sheetProtection/>
  <mergeCells count="25">
    <mergeCell ref="C49:D49"/>
    <mergeCell ref="C50:D50"/>
    <mergeCell ref="J3:K3"/>
    <mergeCell ref="N17:O25"/>
    <mergeCell ref="B3:C3"/>
    <mergeCell ref="M7:N7"/>
    <mergeCell ref="J13:K13"/>
    <mergeCell ref="B4:C4"/>
    <mergeCell ref="B5:C5"/>
    <mergeCell ref="J10:J11"/>
    <mergeCell ref="J40:J45"/>
    <mergeCell ref="J9:K9"/>
    <mergeCell ref="J23:K23"/>
    <mergeCell ref="J16:K16"/>
    <mergeCell ref="B26:C26"/>
    <mergeCell ref="E25:F25"/>
    <mergeCell ref="K10:K11"/>
    <mergeCell ref="J22:K22"/>
    <mergeCell ref="L19:L20"/>
    <mergeCell ref="L17:L18"/>
    <mergeCell ref="B2:H2"/>
    <mergeCell ref="I4:I6"/>
    <mergeCell ref="M4:N4"/>
    <mergeCell ref="M11:N11"/>
    <mergeCell ref="B6:C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5"/>
  <sheetViews>
    <sheetView showGridLines="0" tabSelected="1" zoomScale="118" zoomScaleNormal="118" zoomScalePageLayoutView="0" workbookViewId="0" topLeftCell="A43">
      <selection activeCell="B64" sqref="B64"/>
    </sheetView>
  </sheetViews>
  <sheetFormatPr defaultColWidth="8.875" defaultRowHeight="12.75"/>
  <cols>
    <col min="1" max="1" width="5.625" style="5" customWidth="1"/>
    <col min="2" max="2" width="25.625" style="5" customWidth="1"/>
    <col min="3" max="3" width="8.625" style="5" customWidth="1"/>
    <col min="4" max="4" width="9.50390625" style="5" bestFit="1" customWidth="1"/>
    <col min="5" max="6" width="8.625" style="5" customWidth="1"/>
    <col min="7" max="7" width="9.50390625" style="5" bestFit="1" customWidth="1"/>
    <col min="8" max="9" width="8.625" style="5" customWidth="1"/>
    <col min="10" max="10" width="9.50390625" style="5" bestFit="1" customWidth="1"/>
    <col min="11" max="11" width="9.375" style="5" customWidth="1"/>
    <col min="12" max="12" width="9.625" style="5" customWidth="1"/>
    <col min="13" max="13" width="7.625" style="5" customWidth="1"/>
    <col min="14" max="14" width="12.875" style="5" customWidth="1"/>
    <col min="15" max="15" width="27.75390625" style="5" customWidth="1"/>
    <col min="16" max="16" width="14.00390625" style="120" customWidth="1"/>
    <col min="17" max="17" width="8.125" style="5" customWidth="1"/>
    <col min="18" max="18" width="19.75390625" style="5" customWidth="1"/>
    <col min="19" max="19" width="17.00390625" style="5" customWidth="1"/>
    <col min="20" max="20" width="18.75390625" style="5" customWidth="1"/>
    <col min="21" max="16384" width="8.875" style="5" customWidth="1"/>
  </cols>
  <sheetData>
    <row r="1" spans="2:13" ht="11.25">
      <c r="B1" s="4"/>
      <c r="E1" s="6"/>
      <c r="F1" s="6"/>
      <c r="G1" s="6"/>
      <c r="H1" s="6"/>
      <c r="K1" s="6"/>
      <c r="M1" s="6"/>
    </row>
    <row r="2" spans="2:16" ht="15" customHeight="1">
      <c r="B2" s="500" t="s">
        <v>129</v>
      </c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36"/>
      <c r="O2" s="36"/>
      <c r="P2" s="37"/>
    </row>
    <row r="3" spans="2:16" ht="4.5" customHeight="1" thickBot="1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6"/>
      <c r="O3" s="36"/>
      <c r="P3" s="37"/>
    </row>
    <row r="4" spans="2:16" ht="13.5" customHeight="1">
      <c r="B4" s="214" t="s">
        <v>24</v>
      </c>
      <c r="C4" s="492" t="s">
        <v>32</v>
      </c>
      <c r="D4" s="493"/>
      <c r="E4" s="493"/>
      <c r="F4" s="493" t="s">
        <v>40</v>
      </c>
      <c r="G4" s="493" t="s">
        <v>40</v>
      </c>
      <c r="H4" s="493"/>
      <c r="I4" s="493" t="s">
        <v>26</v>
      </c>
      <c r="J4" s="493"/>
      <c r="K4" s="494"/>
      <c r="L4" s="501" t="s">
        <v>27</v>
      </c>
      <c r="M4" s="502"/>
      <c r="N4" s="36"/>
      <c r="O4" s="36"/>
      <c r="P4" s="37"/>
    </row>
    <row r="5" spans="2:16" ht="13.5" customHeight="1">
      <c r="B5" s="215" t="s">
        <v>132</v>
      </c>
      <c r="C5" s="497">
        <v>22</v>
      </c>
      <c r="D5" s="498"/>
      <c r="E5" s="498"/>
      <c r="F5" s="488">
        <v>97</v>
      </c>
      <c r="G5" s="488"/>
      <c r="H5" s="488"/>
      <c r="I5" s="488">
        <v>2</v>
      </c>
      <c r="J5" s="488"/>
      <c r="K5" s="489"/>
      <c r="L5" s="509">
        <f>SUM(C5:K5)</f>
        <v>121</v>
      </c>
      <c r="M5" s="510"/>
      <c r="N5" s="36"/>
      <c r="O5" s="36"/>
      <c r="P5" s="37"/>
    </row>
    <row r="6" spans="2:14" ht="13.5" customHeight="1">
      <c r="B6" s="216" t="s">
        <v>137</v>
      </c>
      <c r="C6" s="480">
        <v>39</v>
      </c>
      <c r="D6" s="481"/>
      <c r="E6" s="482"/>
      <c r="F6" s="483">
        <v>130</v>
      </c>
      <c r="G6" s="481"/>
      <c r="H6" s="482"/>
      <c r="I6" s="483">
        <v>14</v>
      </c>
      <c r="J6" s="481"/>
      <c r="K6" s="484"/>
      <c r="L6" s="480">
        <f>SUM(C6:K6)</f>
        <v>183</v>
      </c>
      <c r="M6" s="485"/>
      <c r="N6" s="36"/>
    </row>
    <row r="7" spans="2:16" ht="13.5" customHeight="1">
      <c r="B7" s="215" t="s">
        <v>63</v>
      </c>
      <c r="C7" s="499">
        <f>'FROTA E CUSTOS'!E27</f>
        <v>21</v>
      </c>
      <c r="D7" s="488"/>
      <c r="E7" s="488"/>
      <c r="F7" s="488">
        <f>'FROTA E CUSTOS'!D27</f>
        <v>116</v>
      </c>
      <c r="G7" s="488"/>
      <c r="H7" s="488"/>
      <c r="I7" s="488">
        <f>'FROTA E CUSTOS'!F27</f>
        <v>14</v>
      </c>
      <c r="J7" s="488"/>
      <c r="K7" s="489"/>
      <c r="L7" s="509">
        <v>151</v>
      </c>
      <c r="M7" s="510"/>
      <c r="N7" s="36"/>
      <c r="O7" s="36"/>
      <c r="P7" s="37"/>
    </row>
    <row r="8" spans="2:16" ht="13.5" customHeight="1">
      <c r="B8" s="215" t="s">
        <v>64</v>
      </c>
      <c r="C8" s="490">
        <f>'KM, PASSAGEIROS E PESSOAL'!G9</f>
        <v>161443.751</v>
      </c>
      <c r="D8" s="487"/>
      <c r="E8" s="61">
        <f>C8/L8</f>
        <v>0.17524766732092753</v>
      </c>
      <c r="F8" s="486">
        <f>'KM, PASSAGEIROS E PESSOAL'!H9</f>
        <v>687919.426</v>
      </c>
      <c r="G8" s="487"/>
      <c r="H8" s="61">
        <f>F8/L8</f>
        <v>0.74673856352143</v>
      </c>
      <c r="I8" s="486">
        <f>'KM, PASSAGEIROS E PESSOAL'!I9</f>
        <v>71868.777</v>
      </c>
      <c r="J8" s="487"/>
      <c r="K8" s="62">
        <f>I8/L8</f>
        <v>0.07801376915764258</v>
      </c>
      <c r="L8" s="503">
        <f>SUM(C8,F8,I8)</f>
        <v>921231.9539999999</v>
      </c>
      <c r="M8" s="504"/>
      <c r="N8" s="36"/>
      <c r="O8" s="36"/>
      <c r="P8" s="37"/>
    </row>
    <row r="9" spans="2:16" ht="13.5" customHeight="1">
      <c r="B9" s="215" t="s">
        <v>109</v>
      </c>
      <c r="C9" s="490">
        <f>E9*C8</f>
        <v>0</v>
      </c>
      <c r="D9" s="487"/>
      <c r="E9" s="61">
        <f>'FROTA E CUSTOS'!D42</f>
        <v>0</v>
      </c>
      <c r="F9" s="490">
        <f>H9*F8</f>
        <v>0</v>
      </c>
      <c r="G9" s="487"/>
      <c r="H9" s="61">
        <f>'FROTA E CUSTOS'!D41</f>
        <v>0</v>
      </c>
      <c r="I9" s="490">
        <f>K9*I8</f>
        <v>0</v>
      </c>
      <c r="J9" s="487"/>
      <c r="K9" s="62">
        <f>'FROTA E CUSTOS'!D40</f>
        <v>0</v>
      </c>
      <c r="L9" s="523">
        <f>(I9+F9+C9)/L8</f>
        <v>0</v>
      </c>
      <c r="M9" s="524"/>
      <c r="N9" s="36"/>
      <c r="O9" s="36"/>
      <c r="P9" s="37"/>
    </row>
    <row r="10" spans="2:16" ht="13.5" customHeight="1">
      <c r="B10" s="215" t="s">
        <v>110</v>
      </c>
      <c r="C10" s="490">
        <f>E10*C8</f>
        <v>161443.751</v>
      </c>
      <c r="D10" s="487"/>
      <c r="E10" s="61">
        <f>'FROTA E CUSTOS'!C42</f>
        <v>1</v>
      </c>
      <c r="F10" s="490">
        <f>H10*F8</f>
        <v>687919.426</v>
      </c>
      <c r="G10" s="487"/>
      <c r="H10" s="61">
        <f>'FROTA E CUSTOS'!C41</f>
        <v>1</v>
      </c>
      <c r="I10" s="490">
        <f>K10*I8</f>
        <v>71868.777</v>
      </c>
      <c r="J10" s="487"/>
      <c r="K10" s="62">
        <f>'FROTA E CUSTOS'!C40</f>
        <v>1</v>
      </c>
      <c r="L10" s="523">
        <f>(I10+F10+C10)/L8</f>
        <v>1</v>
      </c>
      <c r="M10" s="524"/>
      <c r="N10" s="36"/>
      <c r="P10" s="5"/>
    </row>
    <row r="11" spans="2:14" ht="13.5" customHeight="1">
      <c r="B11" s="215" t="s">
        <v>65</v>
      </c>
      <c r="C11" s="508">
        <f>C8/C7</f>
        <v>7687.797666666666</v>
      </c>
      <c r="D11" s="495"/>
      <c r="E11" s="495"/>
      <c r="F11" s="495">
        <f>F8/F7</f>
        <v>5930.339879310344</v>
      </c>
      <c r="G11" s="495"/>
      <c r="H11" s="495"/>
      <c r="I11" s="495">
        <f>I8/I7</f>
        <v>5133.484071428572</v>
      </c>
      <c r="J11" s="495"/>
      <c r="K11" s="496"/>
      <c r="L11" s="518">
        <f>L8/L7</f>
        <v>6100.873867549668</v>
      </c>
      <c r="M11" s="519"/>
      <c r="N11" s="36"/>
    </row>
    <row r="12" spans="2:16" ht="13.5" customHeight="1">
      <c r="B12" s="216" t="s">
        <v>133</v>
      </c>
      <c r="C12" s="535">
        <f>C8/C6</f>
        <v>4139.583358974359</v>
      </c>
      <c r="D12" s="536"/>
      <c r="E12" s="536"/>
      <c r="F12" s="520">
        <f>F8/F6</f>
        <v>5291.687892307692</v>
      </c>
      <c r="G12" s="521"/>
      <c r="H12" s="522"/>
      <c r="I12" s="520">
        <f>I8/I6</f>
        <v>5133.484071428572</v>
      </c>
      <c r="J12" s="521"/>
      <c r="K12" s="522"/>
      <c r="L12" s="194"/>
      <c r="M12" s="217"/>
      <c r="N12" s="36"/>
      <c r="P12" s="5"/>
    </row>
    <row r="13" spans="2:16" ht="13.5" customHeight="1">
      <c r="B13" s="215" t="s">
        <v>131</v>
      </c>
      <c r="C13" s="508">
        <f>C8/C5</f>
        <v>7338.352318181817</v>
      </c>
      <c r="D13" s="495"/>
      <c r="E13" s="495"/>
      <c r="F13" s="495">
        <f>F8/F5</f>
        <v>7091.9528453608245</v>
      </c>
      <c r="G13" s="495"/>
      <c r="H13" s="495"/>
      <c r="I13" s="495">
        <f>I8/I5</f>
        <v>35934.3885</v>
      </c>
      <c r="J13" s="495"/>
      <c r="K13" s="496"/>
      <c r="L13" s="518">
        <f>L8/L5</f>
        <v>7613.487223140495</v>
      </c>
      <c r="M13" s="519"/>
      <c r="N13" s="36"/>
      <c r="P13" s="5"/>
    </row>
    <row r="14" spans="2:16" ht="13.5" customHeight="1">
      <c r="B14" s="505" t="s">
        <v>66</v>
      </c>
      <c r="C14" s="506"/>
      <c r="D14" s="506"/>
      <c r="E14" s="506"/>
      <c r="F14" s="506"/>
      <c r="G14" s="506"/>
      <c r="H14" s="506"/>
      <c r="I14" s="506"/>
      <c r="J14" s="506"/>
      <c r="K14" s="507"/>
      <c r="L14" s="386">
        <f>'KM, PASSAGEIROS E PESSOAL'!C14</f>
        <v>1560499</v>
      </c>
      <c r="M14" s="387"/>
      <c r="N14" s="124"/>
      <c r="P14" s="5"/>
    </row>
    <row r="15" spans="2:16" ht="9" customHeight="1">
      <c r="B15" s="218"/>
      <c r="C15" s="219"/>
      <c r="D15" s="219"/>
      <c r="E15" s="219"/>
      <c r="F15" s="219"/>
      <c r="G15" s="219"/>
      <c r="H15" s="219"/>
      <c r="I15" s="219"/>
      <c r="J15" s="219"/>
      <c r="K15" s="219"/>
      <c r="L15" s="220"/>
      <c r="M15" s="221"/>
      <c r="N15" s="36"/>
      <c r="P15" s="5"/>
    </row>
    <row r="16" spans="2:20" ht="13.5" customHeight="1">
      <c r="B16" s="525" t="s">
        <v>28</v>
      </c>
      <c r="C16" s="514" t="s">
        <v>32</v>
      </c>
      <c r="D16" s="515"/>
      <c r="E16" s="516"/>
      <c r="F16" s="514" t="s">
        <v>40</v>
      </c>
      <c r="G16" s="515" t="s">
        <v>40</v>
      </c>
      <c r="H16" s="517"/>
      <c r="I16" s="529" t="s">
        <v>26</v>
      </c>
      <c r="J16" s="515"/>
      <c r="K16" s="516"/>
      <c r="L16" s="514" t="s">
        <v>67</v>
      </c>
      <c r="M16" s="527"/>
      <c r="N16" s="36"/>
      <c r="P16" s="5"/>
      <c r="T16" s="5">
        <v>12</v>
      </c>
    </row>
    <row r="17" spans="2:16" ht="13.5" customHeight="1">
      <c r="B17" s="526"/>
      <c r="C17" s="82" t="s">
        <v>68</v>
      </c>
      <c r="D17" s="83" t="s">
        <v>69</v>
      </c>
      <c r="E17" s="84" t="s">
        <v>70</v>
      </c>
      <c r="F17" s="82" t="s">
        <v>68</v>
      </c>
      <c r="G17" s="83" t="s">
        <v>69</v>
      </c>
      <c r="H17" s="85" t="s">
        <v>70</v>
      </c>
      <c r="I17" s="86" t="s">
        <v>68</v>
      </c>
      <c r="J17" s="83" t="s">
        <v>69</v>
      </c>
      <c r="K17" s="83" t="s">
        <v>70</v>
      </c>
      <c r="L17" s="82" t="s">
        <v>71</v>
      </c>
      <c r="M17" s="223" t="s">
        <v>2</v>
      </c>
      <c r="N17" s="36"/>
      <c r="P17" s="5"/>
    </row>
    <row r="18" spans="2:16" ht="9.75" customHeight="1">
      <c r="B18" s="218"/>
      <c r="C18" s="220"/>
      <c r="D18" s="220"/>
      <c r="E18" s="220"/>
      <c r="F18" s="220"/>
      <c r="G18" s="220"/>
      <c r="H18" s="220"/>
      <c r="I18" s="220"/>
      <c r="J18" s="220"/>
      <c r="K18" s="220"/>
      <c r="L18" s="219"/>
      <c r="M18" s="224"/>
      <c r="N18" s="36"/>
      <c r="P18" s="5"/>
    </row>
    <row r="19" spans="2:16" ht="15" customHeight="1">
      <c r="B19" s="225" t="s">
        <v>73</v>
      </c>
      <c r="C19" s="87"/>
      <c r="D19" s="88"/>
      <c r="E19" s="89">
        <f>SUM(E20:E27)</f>
        <v>1.7760246125714287</v>
      </c>
      <c r="F19" s="90"/>
      <c r="G19" s="91"/>
      <c r="H19" s="92">
        <f>SUM(H20:H27)</f>
        <v>2.0261967725714287</v>
      </c>
      <c r="I19" s="93"/>
      <c r="J19" s="91"/>
      <c r="K19" s="89">
        <f>SUM(K20:K27)</f>
        <v>3.8331781789999995</v>
      </c>
      <c r="L19" s="94">
        <f aca="true" t="shared" si="0" ref="L19:L27">($E19*$E$8)+($H19*$H$8)+($K19*$K$8)</f>
        <v>2.123324115416062</v>
      </c>
      <c r="M19" s="226">
        <f aca="true" t="shared" si="1" ref="M19:M27">L19/$L$52</f>
        <v>0.2181447310213344</v>
      </c>
      <c r="N19" s="36"/>
      <c r="P19" s="5"/>
    </row>
    <row r="20" spans="2:17" ht="15" customHeight="1">
      <c r="B20" s="227" t="s">
        <v>115</v>
      </c>
      <c r="C20" s="58">
        <v>0.3368</v>
      </c>
      <c r="D20" s="54">
        <v>0</v>
      </c>
      <c r="E20" s="40">
        <f>E9*(C20*D20)</f>
        <v>0</v>
      </c>
      <c r="F20" s="59">
        <v>0.3982</v>
      </c>
      <c r="G20" s="54">
        <v>0</v>
      </c>
      <c r="H20" s="40">
        <f>H9*(F20*G20)</f>
        <v>0</v>
      </c>
      <c r="I20" s="60">
        <v>0.7938</v>
      </c>
      <c r="J20" s="54">
        <v>0</v>
      </c>
      <c r="K20" s="40">
        <f>K9*(I20*J20)</f>
        <v>0</v>
      </c>
      <c r="L20" s="53">
        <f t="shared" si="0"/>
        <v>0</v>
      </c>
      <c r="M20" s="228">
        <f t="shared" si="1"/>
        <v>0</v>
      </c>
      <c r="N20" s="36"/>
      <c r="O20" s="97"/>
      <c r="P20" s="97"/>
      <c r="Q20" s="97"/>
    </row>
    <row r="21" spans="2:16" s="346" customFormat="1" ht="15" customHeight="1">
      <c r="B21" s="337" t="s">
        <v>116</v>
      </c>
      <c r="C21" s="338">
        <v>0.3448</v>
      </c>
      <c r="D21" s="339">
        <f>'FROTA E CUSTOS'!N8</f>
        <v>4.3746</v>
      </c>
      <c r="E21" s="340">
        <f>E10*(C21*D21)</f>
        <v>1.50836208</v>
      </c>
      <c r="F21" s="341">
        <v>0.3968</v>
      </c>
      <c r="G21" s="339">
        <f>'FROTA E CUSTOS'!N8</f>
        <v>4.3746</v>
      </c>
      <c r="H21" s="340">
        <f>H10*(F21*G21)</f>
        <v>1.73584128</v>
      </c>
      <c r="I21" s="342">
        <v>0.7463</v>
      </c>
      <c r="J21" s="339">
        <f>'FROTA E CUSTOS'!N8</f>
        <v>4.3746</v>
      </c>
      <c r="K21" s="340">
        <f>K10*(I21*J21)</f>
        <v>3.2647639799999997</v>
      </c>
      <c r="L21" s="343">
        <f t="shared" si="0"/>
        <v>1.815253103413649</v>
      </c>
      <c r="M21" s="344">
        <f t="shared" si="1"/>
        <v>0.18649432609218955</v>
      </c>
      <c r="N21" s="345" t="s">
        <v>105</v>
      </c>
      <c r="P21" s="347"/>
    </row>
    <row r="22" spans="2:16" s="346" customFormat="1" ht="15" customHeight="1">
      <c r="B22" s="337" t="s">
        <v>117</v>
      </c>
      <c r="C22" s="338">
        <v>0.0019</v>
      </c>
      <c r="D22" s="339">
        <f>'FROTA E CUSTOS'!N12</f>
        <v>2.2</v>
      </c>
      <c r="E22" s="340">
        <f>E10*(C22*D22)</f>
        <v>0.0041800000000000006</v>
      </c>
      <c r="F22" s="341">
        <v>0.0068</v>
      </c>
      <c r="G22" s="339">
        <f>'FROTA E CUSTOS'!N12</f>
        <v>2.2</v>
      </c>
      <c r="H22" s="340">
        <f>H10*(F22*G22)</f>
        <v>0.014960000000000001</v>
      </c>
      <c r="I22" s="342">
        <v>0.0276</v>
      </c>
      <c r="J22" s="339">
        <f>'FROTA E CUSTOS'!N12</f>
        <v>2.2</v>
      </c>
      <c r="K22" s="340">
        <f>K10*(I22*J22)</f>
        <v>0.06072</v>
      </c>
      <c r="L22" s="343">
        <f t="shared" si="0"/>
        <v>0.016640740222934127</v>
      </c>
      <c r="M22" s="344">
        <f t="shared" si="1"/>
        <v>0.0017096258520176769</v>
      </c>
      <c r="N22" s="348"/>
      <c r="P22" s="347"/>
    </row>
    <row r="23" spans="2:14" ht="15" customHeight="1">
      <c r="B23" s="229" t="s">
        <v>0</v>
      </c>
      <c r="C23" s="63">
        <v>0.05</v>
      </c>
      <c r="D23" s="127">
        <f>E20+E21+E22</f>
        <v>1.51254208</v>
      </c>
      <c r="E23" s="41">
        <f>C23*D23</f>
        <v>0.075627104</v>
      </c>
      <c r="F23" s="63">
        <v>0.05</v>
      </c>
      <c r="G23" s="127">
        <f>H20+H21+H22</f>
        <v>1.7508012800000001</v>
      </c>
      <c r="H23" s="42">
        <f>0.05*G23</f>
        <v>0.08754006400000001</v>
      </c>
      <c r="I23" s="63">
        <v>0.05</v>
      </c>
      <c r="J23" s="127">
        <f>K20+K21+K22</f>
        <v>3.3254839799999996</v>
      </c>
      <c r="K23" s="41">
        <f>0.05*J23</f>
        <v>0.16627419899999998</v>
      </c>
      <c r="L23" s="39">
        <f t="shared" si="0"/>
        <v>0.09159469218182917</v>
      </c>
      <c r="M23" s="230">
        <f t="shared" si="1"/>
        <v>0.009410197597210361</v>
      </c>
      <c r="N23" s="36"/>
    </row>
    <row r="24" spans="2:14" ht="15" customHeight="1">
      <c r="B24" s="231" t="s">
        <v>55</v>
      </c>
      <c r="C24" s="64">
        <f>6*1/105000</f>
        <v>5.714285714285714E-05</v>
      </c>
      <c r="D24" s="69">
        <f>'FROTA E CUSTOS'!K17</f>
        <v>1924.97</v>
      </c>
      <c r="E24" s="41">
        <f>C24*D24</f>
        <v>0.10999828571428572</v>
      </c>
      <c r="F24" s="64">
        <f>6*1/105000</f>
        <v>5.714285714285714E-05</v>
      </c>
      <c r="G24" s="69">
        <f>'FROTA E CUSTOS'!K17</f>
        <v>1924.97</v>
      </c>
      <c r="H24" s="42">
        <f>F24*G24</f>
        <v>0.10999828571428572</v>
      </c>
      <c r="I24" s="63"/>
      <c r="J24" s="56"/>
      <c r="K24" s="41"/>
      <c r="L24" s="39">
        <f>($E24*$E$8)+($H24*$H$8)+($K24*$K$8)</f>
        <v>0.10141690484483502</v>
      </c>
      <c r="M24" s="230">
        <f t="shared" si="1"/>
        <v>0.010419305874109438</v>
      </c>
      <c r="N24" s="36"/>
    </row>
    <row r="25" spans="2:14" ht="15" customHeight="1">
      <c r="B25" s="231" t="s">
        <v>56</v>
      </c>
      <c r="C25" s="63"/>
      <c r="D25" s="81"/>
      <c r="E25" s="41"/>
      <c r="F25" s="66"/>
      <c r="G25" s="13"/>
      <c r="H25" s="42"/>
      <c r="I25" s="64">
        <f>10*1/105000</f>
        <v>9.523809523809524E-05</v>
      </c>
      <c r="J25" s="56">
        <f>'FROTA E CUSTOS'!K18</f>
        <v>2122.41</v>
      </c>
      <c r="K25" s="41">
        <f>I25*J25</f>
        <v>0.2021342857142857</v>
      </c>
      <c r="L25" s="39">
        <f>($E25*$E$8)+($H25*$H$8)+($K25*$K$8)</f>
        <v>0.015769257504559254</v>
      </c>
      <c r="M25" s="230">
        <f t="shared" si="1"/>
        <v>0.001620092011277411</v>
      </c>
      <c r="N25" s="36"/>
    </row>
    <row r="26" spans="2:14" ht="15" customHeight="1">
      <c r="B26" s="231" t="s">
        <v>57</v>
      </c>
      <c r="C26" s="64">
        <f>2.5*6/105000</f>
        <v>0.00014285714285714287</v>
      </c>
      <c r="D26" s="69">
        <f>'FROTA E CUSTOS'!K19</f>
        <v>545</v>
      </c>
      <c r="E26" s="41">
        <f>C26*D26</f>
        <v>0.07785714285714286</v>
      </c>
      <c r="F26" s="64">
        <f>2.5*6/105000</f>
        <v>0.00014285714285714287</v>
      </c>
      <c r="G26" s="69">
        <f>'FROTA E CUSTOS'!K19</f>
        <v>545</v>
      </c>
      <c r="H26" s="42">
        <f>F26*G26</f>
        <v>0.07785714285714286</v>
      </c>
      <c r="I26" s="63"/>
      <c r="J26" s="56"/>
      <c r="K26" s="41"/>
      <c r="L26" s="39">
        <f t="shared" si="0"/>
        <v>0.07178321368701213</v>
      </c>
      <c r="M26" s="230">
        <f t="shared" si="1"/>
        <v>0.007374818440533676</v>
      </c>
      <c r="N26" s="36"/>
    </row>
    <row r="27" spans="2:14" ht="15" customHeight="1">
      <c r="B27" s="232" t="s">
        <v>58</v>
      </c>
      <c r="C27" s="65"/>
      <c r="D27" s="55"/>
      <c r="E27" s="47"/>
      <c r="F27" s="67"/>
      <c r="G27" s="57"/>
      <c r="H27" s="48"/>
      <c r="I27" s="68">
        <f>2.5*10/105000</f>
        <v>0.0002380952380952381</v>
      </c>
      <c r="J27" s="57">
        <f>'FROTA E CUSTOS'!K20</f>
        <v>585</v>
      </c>
      <c r="K27" s="49">
        <f>I27*J27</f>
        <v>0.1392857142857143</v>
      </c>
      <c r="L27" s="95">
        <f t="shared" si="0"/>
        <v>0.010866203561243074</v>
      </c>
      <c r="M27" s="233">
        <f t="shared" si="1"/>
        <v>0.0011163651539962656</v>
      </c>
      <c r="N27" s="36"/>
    </row>
    <row r="28" spans="2:14" ht="9.75" customHeight="1">
      <c r="B28" s="218"/>
      <c r="C28" s="220"/>
      <c r="D28" s="220"/>
      <c r="E28" s="220"/>
      <c r="F28" s="220"/>
      <c r="G28" s="220"/>
      <c r="H28" s="220"/>
      <c r="I28" s="220"/>
      <c r="J28" s="220"/>
      <c r="K28" s="220"/>
      <c r="L28" s="219"/>
      <c r="M28" s="234"/>
      <c r="N28" s="36"/>
    </row>
    <row r="29" spans="2:17" s="97" customFormat="1" ht="15" customHeight="1">
      <c r="B29" s="235" t="s">
        <v>74</v>
      </c>
      <c r="C29" s="98"/>
      <c r="D29" s="99"/>
      <c r="E29" s="100">
        <f>SUM(E30:E41)</f>
        <v>4.480856264912566</v>
      </c>
      <c r="F29" s="102"/>
      <c r="G29" s="103"/>
      <c r="H29" s="101">
        <f>SUM(H30:H41)</f>
        <v>6.685308660428743</v>
      </c>
      <c r="I29" s="104"/>
      <c r="J29" s="103"/>
      <c r="K29" s="100">
        <f>SUM(K30:K41)</f>
        <v>8.527015502769917</v>
      </c>
      <c r="L29" s="105">
        <f aca="true" t="shared" si="2" ref="L29:L41">($E29*$E$8)+($H29*$H$8)+($K29*$K$8)</f>
        <v>6.442662012848958</v>
      </c>
      <c r="M29" s="236">
        <f aca="true" t="shared" si="3" ref="M29:M41">L29/$L$52</f>
        <v>0.6619021380911093</v>
      </c>
      <c r="O29" s="5"/>
      <c r="P29" s="120"/>
      <c r="Q29" s="5"/>
    </row>
    <row r="30" spans="2:14" ht="15" customHeight="1">
      <c r="B30" s="227" t="s">
        <v>3</v>
      </c>
      <c r="C30" s="126">
        <v>0.0064</v>
      </c>
      <c r="D30" s="73">
        <f>'FROTA E CUSTOS'!H4</f>
        <v>622450.18</v>
      </c>
      <c r="E30" s="75">
        <f>(C30*D30)/C11</f>
        <v>0.5181823618060015</v>
      </c>
      <c r="F30" s="126">
        <v>0.0064</v>
      </c>
      <c r="G30" s="71">
        <f>'FROTA E CUSTOS'!H5</f>
        <v>695450.18</v>
      </c>
      <c r="H30" s="75">
        <f>(F30*G30)/F11</f>
        <v>0.750527160766645</v>
      </c>
      <c r="I30" s="126">
        <v>0.0064</v>
      </c>
      <c r="J30" s="71">
        <f>'FROTA E CUSTOS'!H6</f>
        <v>1538775.9</v>
      </c>
      <c r="K30" s="75">
        <f>(I30*J30)/I11</f>
        <v>1.9184175158567118</v>
      </c>
      <c r="L30" s="53">
        <f>($E30*$E$8)+($H30*$H$8)+($K30*$K$8)</f>
        <v>0.8009208052980762</v>
      </c>
      <c r="M30" s="228">
        <f t="shared" si="3"/>
        <v>0.08228449550995841</v>
      </c>
      <c r="N30" s="36"/>
    </row>
    <row r="31" spans="2:14" ht="15" customHeight="1">
      <c r="B31" s="231" t="s">
        <v>4</v>
      </c>
      <c r="C31" s="70">
        <f>'KM, PASSAGEIROS E PESSOAL'!M20</f>
        <v>3.111314138391281</v>
      </c>
      <c r="D31" s="13">
        <f>'FROTA E CUSTOS'!K5</f>
        <v>2685.08</v>
      </c>
      <c r="E31" s="76">
        <f>(C31*D31*1.423893)/C$11</f>
        <v>1.5473070434912808</v>
      </c>
      <c r="F31" s="70">
        <f>C31</f>
        <v>3.111314138391281</v>
      </c>
      <c r="G31" s="56">
        <f>'FROTA E CUSTOS'!K4</f>
        <v>2685.08</v>
      </c>
      <c r="H31" s="76">
        <f>(F31*G31*1.423893)/F$11</f>
        <v>2.0058518939309957</v>
      </c>
      <c r="I31" s="70">
        <f>F31</f>
        <v>3.111314138391281</v>
      </c>
      <c r="J31" s="56">
        <f>'FROTA E CUSTOS'!K4</f>
        <v>2685.08</v>
      </c>
      <c r="K31" s="76">
        <f>(I31*J31*1.423893)/I$11</f>
        <v>2.317214451833072</v>
      </c>
      <c r="L31" s="39">
        <f>($E31*$E$8)+($H31*$H$8)+($K31*$K$8)</f>
        <v>1.949783545245918</v>
      </c>
      <c r="M31" s="230">
        <f t="shared" si="3"/>
        <v>0.20031562960144256</v>
      </c>
      <c r="N31" s="36"/>
    </row>
    <row r="32" spans="2:14" ht="15" customHeight="1">
      <c r="B32" s="231" t="s">
        <v>5</v>
      </c>
      <c r="C32" s="70">
        <v>0</v>
      </c>
      <c r="D32" s="13">
        <v>0</v>
      </c>
      <c r="E32" s="76">
        <f>(C32*D32*1.423893)/C$11</f>
        <v>0</v>
      </c>
      <c r="F32" s="66">
        <f>'KM, PASSAGEIROS E PESSOAL'!P20</f>
        <v>3.209702386039263</v>
      </c>
      <c r="G32" s="56">
        <f>'FROTA E CUSTOS'!K6</f>
        <v>1608.46</v>
      </c>
      <c r="H32" s="76">
        <f>(F32*G32*1.423893)/F$11</f>
        <v>1.239574977565057</v>
      </c>
      <c r="I32" s="66">
        <f>F32</f>
        <v>3.209702386039263</v>
      </c>
      <c r="J32" s="56">
        <f>'FROTA E CUSTOS'!K6</f>
        <v>1608.46</v>
      </c>
      <c r="K32" s="143">
        <f>(I32*J32*1.423893)/I$11</f>
        <v>1.4319905975287426</v>
      </c>
      <c r="L32" s="39">
        <f>($E32*$E$8)+($H32*$H$8)+($K32*$K$8)</f>
        <v>1.0373534220355616</v>
      </c>
      <c r="M32" s="230">
        <f t="shared" si="3"/>
        <v>0.10657496026209196</v>
      </c>
      <c r="N32" s="36"/>
    </row>
    <row r="33" spans="2:16" ht="15" customHeight="1">
      <c r="B33" s="231" t="s">
        <v>59</v>
      </c>
      <c r="C33" s="70">
        <f>1/5</f>
        <v>0.2</v>
      </c>
      <c r="D33" s="56">
        <f>G33</f>
        <v>2685.08</v>
      </c>
      <c r="E33" s="76">
        <f>(C33*D33*1.423893)/C$11</f>
        <v>0.09946324766108786</v>
      </c>
      <c r="F33" s="70">
        <f>1/5</f>
        <v>0.2</v>
      </c>
      <c r="G33" s="56">
        <f>'FROTA E CUSTOS'!K4</f>
        <v>2685.08</v>
      </c>
      <c r="H33" s="76">
        <f>(F33*G33*1.423893)/F$11</f>
        <v>0.12893920733880831</v>
      </c>
      <c r="I33" s="70">
        <f>1/5</f>
        <v>0.2</v>
      </c>
      <c r="J33" s="56">
        <f>'FROTA E CUSTOS'!K4</f>
        <v>2685.08</v>
      </c>
      <c r="K33" s="76">
        <f>(I33*J33*1.423893)/I$11</f>
        <v>0.14895406563036406</v>
      </c>
      <c r="L33" s="39">
        <f>($E33*$E$8)+($H33*$H$8)+($K33*$K$8)</f>
        <v>0.12533504869772247</v>
      </c>
      <c r="M33" s="230">
        <f t="shared" si="3"/>
        <v>0.012876593020916665</v>
      </c>
      <c r="N33" s="36"/>
      <c r="P33" s="5"/>
    </row>
    <row r="34" spans="2:17" ht="15" customHeight="1">
      <c r="B34" s="229" t="s">
        <v>6</v>
      </c>
      <c r="C34" s="70">
        <v>0.135</v>
      </c>
      <c r="D34" s="74">
        <f>SUM(E31:E33)</f>
        <v>1.6467702911523687</v>
      </c>
      <c r="E34" s="76">
        <f>C34*D34</f>
        <v>0.22231398930556978</v>
      </c>
      <c r="F34" s="70">
        <v>0.135</v>
      </c>
      <c r="G34" s="74">
        <f>SUM(H31:H33)</f>
        <v>3.374366078834861</v>
      </c>
      <c r="H34" s="79">
        <f>F34*G34</f>
        <v>0.45553942064270625</v>
      </c>
      <c r="I34" s="70">
        <v>0.135</v>
      </c>
      <c r="J34" s="74">
        <f>SUM(K31:K33)</f>
        <v>3.898159114992179</v>
      </c>
      <c r="K34" s="76">
        <f>I34*J34</f>
        <v>0.5262514805239442</v>
      </c>
      <c r="L34" s="39">
        <f t="shared" si="2"/>
        <v>0.42018372215719224</v>
      </c>
      <c r="M34" s="230">
        <f t="shared" si="3"/>
        <v>0.04316856968940091</v>
      </c>
      <c r="N34" s="36"/>
      <c r="O34" s="97"/>
      <c r="P34" s="97"/>
      <c r="Q34" s="97"/>
    </row>
    <row r="35" spans="2:16" ht="15" customHeight="1">
      <c r="B35" s="229" t="s">
        <v>44</v>
      </c>
      <c r="C35" s="70">
        <f>C8/$L$8/C7</f>
        <v>0.008345127015282264</v>
      </c>
      <c r="D35" s="13">
        <f>'FROTA E CUSTOS'!K10*'KM, PASSAGEIROS E PESSOAL'!E14</f>
        <v>977396.86</v>
      </c>
      <c r="E35" s="77">
        <f>(C35*D35)/C11</f>
        <v>1.0609671709238173</v>
      </c>
      <c r="F35" s="70">
        <f>F8/$L$8/F7</f>
        <v>0.0064374014096675</v>
      </c>
      <c r="G35" s="13">
        <f>D35</f>
        <v>977396.86</v>
      </c>
      <c r="H35" s="80">
        <f>(F35*G35)/F11</f>
        <v>1.0609671709238173</v>
      </c>
      <c r="I35" s="70">
        <f>I8/$L$8/I7</f>
        <v>0.005572412082688756</v>
      </c>
      <c r="J35" s="13">
        <f>G35</f>
        <v>977396.86</v>
      </c>
      <c r="K35" s="77">
        <f>(I35*J35)/I11</f>
        <v>1.060967170923817</v>
      </c>
      <c r="L35" s="39">
        <f>($E35*$E$8)+($H35*$H$8)+($K35*$K$8)</f>
        <v>1.0609671709238173</v>
      </c>
      <c r="M35" s="230">
        <f t="shared" si="3"/>
        <v>0.10900097467140153</v>
      </c>
      <c r="N35" s="46"/>
      <c r="P35" s="5"/>
    </row>
    <row r="36" spans="2:17" ht="15" customHeight="1">
      <c r="B36" s="229" t="s">
        <v>7</v>
      </c>
      <c r="C36" s="70">
        <f>C32+C33+C34+((C32+C33+C34)*C35)</f>
        <v>0.33779561755011955</v>
      </c>
      <c r="D36" s="74"/>
      <c r="E36" s="78">
        <f>(((D31)*0.1/12)*(C31+C32+C33)*C7)/C8</f>
        <v>0.009637722609495988</v>
      </c>
      <c r="F36" s="66"/>
      <c r="G36" s="72"/>
      <c r="H36" s="78">
        <f>(((G31)*0.1/12)*(F31+F32+F33)*F7)/F8</f>
        <v>0.02460433888242027</v>
      </c>
      <c r="I36" s="63"/>
      <c r="J36" s="72"/>
      <c r="K36" s="78">
        <f>(((J31)*0.1/12)*(I31+I32+I33)*I7)/I8</f>
        <v>0.028423598875193915</v>
      </c>
      <c r="L36" s="39">
        <f t="shared" si="2"/>
        <v>0.02227942916033212</v>
      </c>
      <c r="M36" s="230">
        <f t="shared" si="3"/>
        <v>0.0022889299123969057</v>
      </c>
      <c r="N36" s="36"/>
      <c r="O36" s="97"/>
      <c r="P36" s="97"/>
      <c r="Q36" s="97"/>
    </row>
    <row r="37" spans="2:14" ht="15" customHeight="1">
      <c r="B37" s="229" t="s">
        <v>8</v>
      </c>
      <c r="C37" s="70">
        <f>C8/$L$8/C7</f>
        <v>0.008345127015282264</v>
      </c>
      <c r="D37" s="13">
        <f>'FROTA E CUSTOS'!K35</f>
        <v>0</v>
      </c>
      <c r="E37" s="76">
        <f>D37*C37/C11</f>
        <v>0</v>
      </c>
      <c r="F37" s="70">
        <f>F8/$L$8/F7</f>
        <v>0.0064374014096675</v>
      </c>
      <c r="G37" s="13">
        <f>D37</f>
        <v>0</v>
      </c>
      <c r="H37" s="79">
        <f>G37*F37/F11</f>
        <v>0</v>
      </c>
      <c r="I37" s="70">
        <f>I8/$L$8/I7</f>
        <v>0.005572412082688756</v>
      </c>
      <c r="J37" s="13">
        <f>G37</f>
        <v>0</v>
      </c>
      <c r="K37" s="76">
        <f>J37*I37/I11</f>
        <v>0</v>
      </c>
      <c r="L37" s="39">
        <f t="shared" si="2"/>
        <v>0</v>
      </c>
      <c r="M37" s="230">
        <f t="shared" si="3"/>
        <v>0</v>
      </c>
      <c r="N37" s="36"/>
    </row>
    <row r="38" spans="2:14" ht="15" customHeight="1">
      <c r="B38" s="229" t="s">
        <v>72</v>
      </c>
      <c r="C38" s="63"/>
      <c r="D38" s="13">
        <f>'FROTA E CUSTOS'!K27</f>
        <v>2057.14</v>
      </c>
      <c r="E38" s="76">
        <f>D38/12/C12</f>
        <v>0.04141197759955416</v>
      </c>
      <c r="F38" s="66"/>
      <c r="G38" s="13">
        <f>D38</f>
        <v>2057.14</v>
      </c>
      <c r="H38" s="79">
        <f>G38/12/F12</f>
        <v>0.03239577556766558</v>
      </c>
      <c r="I38" s="63"/>
      <c r="J38" s="13">
        <f>G38</f>
        <v>2057.14</v>
      </c>
      <c r="K38" s="76">
        <f>J38/12/I12</f>
        <v>0.03339414926549628</v>
      </c>
      <c r="L38" s="39">
        <f t="shared" si="2"/>
        <v>0.0340537308370439</v>
      </c>
      <c r="M38" s="230">
        <f t="shared" si="3"/>
        <v>0.0034985906766590038</v>
      </c>
      <c r="N38" s="36"/>
    </row>
    <row r="39" spans="2:14" ht="15" customHeight="1">
      <c r="B39" s="229" t="s">
        <v>12</v>
      </c>
      <c r="C39" s="70">
        <v>0.105</v>
      </c>
      <c r="D39" s="74">
        <f>SUM(E31:E33)</f>
        <v>1.6467702911523687</v>
      </c>
      <c r="E39" s="76">
        <f>C39*D39</f>
        <v>0.1729108805709987</v>
      </c>
      <c r="F39" s="70">
        <v>0.105</v>
      </c>
      <c r="G39" s="74">
        <f>SUM(H31:H33)</f>
        <v>3.374366078834861</v>
      </c>
      <c r="H39" s="79">
        <f>F39*G39</f>
        <v>0.3543084382776604</v>
      </c>
      <c r="I39" s="70">
        <v>0.105</v>
      </c>
      <c r="J39" s="74">
        <f>SUM(K31:K33)</f>
        <v>3.898159114992179</v>
      </c>
      <c r="K39" s="76">
        <f>I39*J39</f>
        <v>0.40930670707417877</v>
      </c>
      <c r="L39" s="39">
        <f>($E39*$E$8)+($H39*$H$8)+($K39*$K$8)</f>
        <v>0.32680956167781616</v>
      </c>
      <c r="M39" s="230">
        <f t="shared" si="3"/>
        <v>0.03357555420286737</v>
      </c>
      <c r="N39" s="36"/>
    </row>
    <row r="40" spans="2:14" ht="15" customHeight="1">
      <c r="B40" s="229" t="s">
        <v>10</v>
      </c>
      <c r="C40" s="70">
        <v>0.0033</v>
      </c>
      <c r="D40" s="13">
        <f>'FROTA E CUSTOS'!F5</f>
        <v>707000</v>
      </c>
      <c r="E40" s="76">
        <f>C40*D40/$C$12</f>
        <v>0.5636074449236502</v>
      </c>
      <c r="F40" s="70">
        <f>C40</f>
        <v>0.0033</v>
      </c>
      <c r="G40" s="13">
        <f>D40</f>
        <v>707000</v>
      </c>
      <c r="H40" s="76">
        <f>F40*G40/$F$12</f>
        <v>0.4408990188917852</v>
      </c>
      <c r="I40" s="70">
        <f>F40</f>
        <v>0.0033</v>
      </c>
      <c r="J40" s="13">
        <f>G40</f>
        <v>707000</v>
      </c>
      <c r="K40" s="76">
        <f>I40*J40/$I$12</f>
        <v>0.45448665419755224</v>
      </c>
      <c r="L40" s="39">
        <f t="shared" si="2"/>
        <v>0.46346340695863447</v>
      </c>
      <c r="M40" s="230">
        <f t="shared" si="3"/>
        <v>0.047615010593619035</v>
      </c>
      <c r="N40" s="36"/>
    </row>
    <row r="41" spans="2:16" ht="15" customHeight="1">
      <c r="B41" s="229" t="s">
        <v>11</v>
      </c>
      <c r="C41" s="70">
        <v>0.3778</v>
      </c>
      <c r="D41" s="13">
        <f>G41</f>
        <v>2685.08</v>
      </c>
      <c r="E41" s="76">
        <f>C41*D41/$C$12</f>
        <v>0.24505442602111</v>
      </c>
      <c r="F41" s="70">
        <f>C41</f>
        <v>0.3778</v>
      </c>
      <c r="G41" s="56">
        <f>G31</f>
        <v>2685.08</v>
      </c>
      <c r="H41" s="76">
        <f>F41*G41/$F$12</f>
        <v>0.19170125764118195</v>
      </c>
      <c r="I41" s="70">
        <f>F41</f>
        <v>0.3778</v>
      </c>
      <c r="J41" s="56">
        <f>J31</f>
        <v>2685.08</v>
      </c>
      <c r="K41" s="76">
        <f>I41*J41/$I$12</f>
        <v>0.19760911106084356</v>
      </c>
      <c r="L41" s="39">
        <f t="shared" si="2"/>
        <v>0.2015121698568437</v>
      </c>
      <c r="M41" s="230">
        <f t="shared" si="3"/>
        <v>0.020702829950354967</v>
      </c>
      <c r="P41" s="5"/>
    </row>
    <row r="42" spans="2:16" ht="9.75" customHeight="1">
      <c r="B42" s="218"/>
      <c r="C42" s="220"/>
      <c r="D42" s="220"/>
      <c r="E42" s="220"/>
      <c r="F42" s="220"/>
      <c r="G42" s="220"/>
      <c r="H42" s="220"/>
      <c r="I42" s="220"/>
      <c r="J42" s="220"/>
      <c r="K42" s="220"/>
      <c r="L42" s="219"/>
      <c r="M42" s="234"/>
      <c r="P42" s="5"/>
    </row>
    <row r="43" spans="2:14" s="97" customFormat="1" ht="15" customHeight="1">
      <c r="B43" s="237" t="s">
        <v>81</v>
      </c>
      <c r="C43" s="106"/>
      <c r="D43" s="107"/>
      <c r="E43" s="108">
        <f>E19+E29</f>
        <v>6.256880877483995</v>
      </c>
      <c r="F43" s="109"/>
      <c r="G43" s="110"/>
      <c r="H43" s="108">
        <f>H19+H29</f>
        <v>8.711505433000172</v>
      </c>
      <c r="I43" s="109"/>
      <c r="J43" s="110"/>
      <c r="K43" s="108">
        <f>K19+K29</f>
        <v>12.360193681769916</v>
      </c>
      <c r="L43" s="111">
        <f>(E43*$E$8)+(H43*$H$8)+(K43*$K$8)</f>
        <v>8.565986128265019</v>
      </c>
      <c r="M43" s="238">
        <f>L43/$L$52</f>
        <v>0.8800468691124436</v>
      </c>
      <c r="N43" s="5"/>
    </row>
    <row r="44" spans="2:16" ht="9.75" customHeight="1">
      <c r="B44" s="218"/>
      <c r="C44" s="220"/>
      <c r="D44" s="220"/>
      <c r="E44" s="220"/>
      <c r="F44" s="220"/>
      <c r="G44" s="220"/>
      <c r="H44" s="220"/>
      <c r="I44" s="220"/>
      <c r="J44" s="220"/>
      <c r="K44" s="220"/>
      <c r="L44" s="219"/>
      <c r="M44" s="234"/>
      <c r="N44" s="97"/>
      <c r="P44" s="5"/>
    </row>
    <row r="45" spans="2:14" s="97" customFormat="1" ht="15" customHeight="1">
      <c r="B45" s="235" t="s">
        <v>82</v>
      </c>
      <c r="C45" s="98"/>
      <c r="D45" s="99"/>
      <c r="E45" s="100">
        <f>E46+E47+E48+E49+E50</f>
        <v>1.1697581917109945</v>
      </c>
      <c r="F45" s="102"/>
      <c r="G45" s="103"/>
      <c r="H45" s="101">
        <f>H46+H47+H48+H49+H50</f>
        <v>1.2394992450220472</v>
      </c>
      <c r="I45" s="104"/>
      <c r="J45" s="103"/>
      <c r="K45" s="100">
        <f>K46+K47+K48+K49+K50</f>
        <v>0.474164049013941</v>
      </c>
      <c r="L45" s="105">
        <f>L46+L47+L48+L49+L50</f>
        <v>1.1675706048031855</v>
      </c>
      <c r="M45" s="236">
        <f aca="true" t="shared" si="4" ref="M45:M50">L45/$L$52</f>
        <v>0.11995313088755633</v>
      </c>
      <c r="N45" s="5"/>
    </row>
    <row r="46" spans="2:16" ht="15" customHeight="1">
      <c r="B46" s="227" t="s">
        <v>76</v>
      </c>
      <c r="C46" s="45">
        <f>1/120</f>
        <v>0.008333333333333333</v>
      </c>
      <c r="D46" s="73">
        <f>'FROTA E CUSTOS'!H4</f>
        <v>622450.18</v>
      </c>
      <c r="E46" s="96">
        <f>C46*D46*0.9/C13</f>
        <v>0.6361613816814751</v>
      </c>
      <c r="F46" s="45">
        <f>1/120</f>
        <v>0.008333333333333333</v>
      </c>
      <c r="G46" s="71">
        <f>'FROTA E CUSTOS'!H5</f>
        <v>695450.18</v>
      </c>
      <c r="H46" s="96">
        <f>F46*G46*0.9/F13</f>
        <v>0.7354640482997497</v>
      </c>
      <c r="I46" s="45">
        <f>1/120</f>
        <v>0.008333333333333333</v>
      </c>
      <c r="J46" s="71">
        <f>'FROTA E CUSTOS'!H6</f>
        <v>1538775.9</v>
      </c>
      <c r="K46" s="96">
        <f>I46*J46*0.9/I13</f>
        <v>0.3211636466277978</v>
      </c>
      <c r="L46" s="53">
        <f>(E46*$E$8)+(H46*$H$8)+(K46*$K$8)</f>
        <v>0.6857403517181951</v>
      </c>
      <c r="M46" s="228">
        <f t="shared" si="4"/>
        <v>0.07045115886451885</v>
      </c>
      <c r="P46" s="5"/>
    </row>
    <row r="47" spans="2:16" ht="15" customHeight="1">
      <c r="B47" s="229" t="s">
        <v>75</v>
      </c>
      <c r="C47" s="44">
        <v>0.0001</v>
      </c>
      <c r="D47" s="13">
        <f>'FROTA E CUSTOS'!F5</f>
        <v>707000</v>
      </c>
      <c r="E47" s="125">
        <f>C47*D47/$C$12</f>
        <v>0.017079013482534856</v>
      </c>
      <c r="F47" s="44">
        <v>0.0001</v>
      </c>
      <c r="G47" s="13">
        <f>D47</f>
        <v>707000</v>
      </c>
      <c r="H47" s="125">
        <f>F47*G47/$F$12</f>
        <v>0.013360576330054098</v>
      </c>
      <c r="I47" s="44">
        <v>0.0001</v>
      </c>
      <c r="J47" s="13">
        <f>G47</f>
        <v>707000</v>
      </c>
      <c r="K47" s="125">
        <f>I47*J47/$I$12</f>
        <v>0.01377232285447128</v>
      </c>
      <c r="L47" s="95">
        <f>(E47*$E$8)+(H47*$H$8)+(K47*$K$8)</f>
        <v>0.014044345665413167</v>
      </c>
      <c r="M47" s="230">
        <f t="shared" si="4"/>
        <v>0.0014428791088975466</v>
      </c>
      <c r="P47" s="5"/>
    </row>
    <row r="48" spans="2:16" ht="15" customHeight="1">
      <c r="B48" s="229" t="s">
        <v>77</v>
      </c>
      <c r="C48" s="44">
        <f>((10-'FROTA E CUSTOS'!E29)/10)*0.01</f>
        <v>0.00468</v>
      </c>
      <c r="D48" s="73">
        <f>D46</f>
        <v>622450.18</v>
      </c>
      <c r="E48" s="78">
        <f>C48*D48/C13</f>
        <v>0.39696470216924046</v>
      </c>
      <c r="F48" s="43">
        <f>((10-'FROTA E CUSTOS'!D29)/10)*0.01</f>
        <v>0.00405</v>
      </c>
      <c r="G48" s="71">
        <f>G46</f>
        <v>695450.18</v>
      </c>
      <c r="H48" s="78">
        <f>F48*G48/F13</f>
        <v>0.39715058608186476</v>
      </c>
      <c r="I48" s="44">
        <f>((10-'FROTA E CUSTOS'!F29)/10)*0.01</f>
        <v>0.001</v>
      </c>
      <c r="J48" s="71">
        <f>J46</f>
        <v>1538775.9</v>
      </c>
      <c r="K48" s="78">
        <f>I48*J48/I13</f>
        <v>0.04282181955037303</v>
      </c>
      <c r="L48" s="95">
        <f>(E48*$E$8)+(H48*$H$8)+(K48*$K$8)</f>
        <v>0.3694754877616849</v>
      </c>
      <c r="M48" s="230">
        <f t="shared" si="4"/>
        <v>0.037958939151857087</v>
      </c>
      <c r="N48" s="97"/>
      <c r="P48" s="5"/>
    </row>
    <row r="49" spans="2:17" ht="15" customHeight="1">
      <c r="B49" s="229" t="s">
        <v>78</v>
      </c>
      <c r="C49" s="44">
        <v>0.0004</v>
      </c>
      <c r="D49" s="13">
        <f>'FROTA E CUSTOS'!F5</f>
        <v>707000</v>
      </c>
      <c r="E49" s="78">
        <f>C49*D49/$C$12</f>
        <v>0.06831605393013943</v>
      </c>
      <c r="F49" s="44">
        <v>0.0004</v>
      </c>
      <c r="G49" s="13">
        <f>D49</f>
        <v>707000</v>
      </c>
      <c r="H49" s="78">
        <f>F49*G49/$F$12</f>
        <v>0.05344230532021639</v>
      </c>
      <c r="I49" s="44">
        <v>0.0004</v>
      </c>
      <c r="J49" s="13">
        <f>G49</f>
        <v>707000</v>
      </c>
      <c r="K49" s="78">
        <f>I49*J49/$I$12</f>
        <v>0.05508929141788512</v>
      </c>
      <c r="L49" s="95">
        <f>(E49*$E$8)+(H49*$H$8)+(K49*$K$8)</f>
        <v>0.05617738266165267</v>
      </c>
      <c r="M49" s="230">
        <f t="shared" si="4"/>
        <v>0.005771516435590186</v>
      </c>
      <c r="N49" s="36"/>
      <c r="O49" s="97"/>
      <c r="P49" s="97"/>
      <c r="Q49" s="97"/>
    </row>
    <row r="50" spans="2:16" ht="15" customHeight="1">
      <c r="B50" s="229" t="s">
        <v>79</v>
      </c>
      <c r="C50" s="44">
        <v>0.0003</v>
      </c>
      <c r="D50" s="13">
        <f>'FROTA E CUSTOS'!F5</f>
        <v>707000</v>
      </c>
      <c r="E50" s="78">
        <f>C50*D50/$C$12</f>
        <v>0.05123704044760457</v>
      </c>
      <c r="F50" s="44">
        <v>0.0003</v>
      </c>
      <c r="G50" s="13">
        <f>D50</f>
        <v>707000</v>
      </c>
      <c r="H50" s="78">
        <f>F50*G50/$F$12</f>
        <v>0.04008172899016229</v>
      </c>
      <c r="I50" s="44">
        <v>0.0003</v>
      </c>
      <c r="J50" s="13">
        <f>G50</f>
        <v>707000</v>
      </c>
      <c r="K50" s="78">
        <f>I50*J50/$I$12</f>
        <v>0.04131696856341384</v>
      </c>
      <c r="L50" s="39">
        <f>(E50*$E$8)+(H50*$H$8)+(K50*$K$8)</f>
        <v>0.0421330369962395</v>
      </c>
      <c r="M50" s="230">
        <f t="shared" si="4"/>
        <v>0.00432863732669264</v>
      </c>
      <c r="N50" s="36"/>
      <c r="P50" s="5"/>
    </row>
    <row r="51" spans="2:14" ht="9.75" customHeight="1">
      <c r="B51" s="218"/>
      <c r="C51" s="220"/>
      <c r="D51" s="220"/>
      <c r="E51" s="220"/>
      <c r="F51" s="220"/>
      <c r="G51" s="220"/>
      <c r="H51" s="220"/>
      <c r="I51" s="220"/>
      <c r="J51" s="220"/>
      <c r="K51" s="220"/>
      <c r="L51" s="219"/>
      <c r="M51" s="234"/>
      <c r="N51" s="36"/>
    </row>
    <row r="52" spans="2:17" s="97" customFormat="1" ht="15" customHeight="1">
      <c r="B52" s="237" t="s">
        <v>80</v>
      </c>
      <c r="C52" s="106"/>
      <c r="D52" s="107"/>
      <c r="E52" s="108">
        <f>E43+E45</f>
        <v>7.426639069194989</v>
      </c>
      <c r="F52" s="109"/>
      <c r="G52" s="110"/>
      <c r="H52" s="108">
        <f>H43+H45</f>
        <v>9.951004678022219</v>
      </c>
      <c r="I52" s="109"/>
      <c r="J52" s="110"/>
      <c r="K52" s="108">
        <f>K43+K45</f>
        <v>12.834357730783857</v>
      </c>
      <c r="L52" s="111">
        <f>(E52*$E$8)+(H52*$H$8)+(K52*$K$8)</f>
        <v>9.733556733068205</v>
      </c>
      <c r="M52" s="238">
        <f>L52/L52</f>
        <v>1</v>
      </c>
      <c r="O52" s="5"/>
      <c r="P52" s="120"/>
      <c r="Q52" s="5"/>
    </row>
    <row r="53" spans="2:14" ht="9.75" customHeight="1">
      <c r="B53" s="218"/>
      <c r="C53" s="220"/>
      <c r="D53" s="220"/>
      <c r="E53" s="220"/>
      <c r="F53" s="220"/>
      <c r="G53" s="220"/>
      <c r="H53" s="220"/>
      <c r="I53" s="220"/>
      <c r="J53" s="220"/>
      <c r="K53" s="220"/>
      <c r="L53" s="112"/>
      <c r="M53" s="239"/>
      <c r="N53" s="36"/>
    </row>
    <row r="54" spans="2:14" ht="15" customHeight="1">
      <c r="B54" s="240" t="s">
        <v>83</v>
      </c>
      <c r="C54" s="511"/>
      <c r="D54" s="512"/>
      <c r="E54" s="512"/>
      <c r="F54" s="512"/>
      <c r="G54" s="512"/>
      <c r="H54" s="512"/>
      <c r="I54" s="512"/>
      <c r="J54" s="512"/>
      <c r="K54" s="513"/>
      <c r="L54" s="113">
        <f>(L52/0.95)-L52</f>
        <v>0.5122924596351695</v>
      </c>
      <c r="M54" s="241">
        <f>L54/$L$52</f>
        <v>0.052631578947368494</v>
      </c>
      <c r="N54" s="36"/>
    </row>
    <row r="55" spans="2:14" ht="15" customHeight="1">
      <c r="B55" s="242" t="s">
        <v>9</v>
      </c>
      <c r="C55" s="114" t="s">
        <v>96</v>
      </c>
      <c r="D55" s="119">
        <v>0</v>
      </c>
      <c r="E55" s="116"/>
      <c r="F55" s="117" t="s">
        <v>61</v>
      </c>
      <c r="G55" s="115">
        <v>0.02</v>
      </c>
      <c r="H55" s="116"/>
      <c r="I55" s="114" t="s">
        <v>60</v>
      </c>
      <c r="J55" s="119">
        <v>0.02</v>
      </c>
      <c r="K55" s="116"/>
      <c r="L55" s="118">
        <f>L57-L54-L52</f>
        <v>0.4269103830293073</v>
      </c>
      <c r="M55" s="243">
        <f>L55/$L$52</f>
        <v>0.04385964912280702</v>
      </c>
      <c r="N55" s="36"/>
    </row>
    <row r="56" spans="2:14" ht="9.75" customHeight="1">
      <c r="B56" s="244"/>
      <c r="C56" s="245"/>
      <c r="D56" s="246"/>
      <c r="E56" s="246"/>
      <c r="F56" s="246"/>
      <c r="G56" s="246"/>
      <c r="H56" s="246"/>
      <c r="I56" s="246"/>
      <c r="J56" s="246"/>
      <c r="K56" s="246"/>
      <c r="L56" s="247"/>
      <c r="M56" s="248"/>
      <c r="N56" s="36"/>
    </row>
    <row r="57" spans="2:17" s="97" customFormat="1" ht="15" customHeight="1">
      <c r="B57" s="222" t="s">
        <v>97</v>
      </c>
      <c r="C57" s="537"/>
      <c r="D57" s="538"/>
      <c r="E57" s="538"/>
      <c r="F57" s="538"/>
      <c r="G57" s="538"/>
      <c r="H57" s="538"/>
      <c r="I57" s="538"/>
      <c r="J57" s="538"/>
      <c r="K57" s="539"/>
      <c r="L57" s="540">
        <f>(L52+L54)/(1-D55-G55-J55)</f>
        <v>10.672759575732682</v>
      </c>
      <c r="M57" s="541"/>
      <c r="O57" s="5"/>
      <c r="P57" s="120"/>
      <c r="Q57" s="5"/>
    </row>
    <row r="58" spans="2:17" s="97" customFormat="1" ht="15" customHeight="1">
      <c r="B58" s="249" t="s">
        <v>62</v>
      </c>
      <c r="C58" s="530"/>
      <c r="D58" s="531"/>
      <c r="E58" s="531"/>
      <c r="F58" s="531"/>
      <c r="G58" s="531"/>
      <c r="H58" s="531"/>
      <c r="I58" s="531"/>
      <c r="J58" s="531"/>
      <c r="K58" s="532"/>
      <c r="L58" s="533">
        <f>L14/L8</f>
        <v>1.6939262617023814</v>
      </c>
      <c r="M58" s="534"/>
      <c r="O58" s="5"/>
      <c r="P58" s="120"/>
      <c r="Q58" s="5"/>
    </row>
    <row r="59" spans="2:14" ht="9.75" customHeight="1" thickBot="1">
      <c r="B59" s="218"/>
      <c r="C59" s="220"/>
      <c r="D59" s="220"/>
      <c r="E59" s="220"/>
      <c r="F59" s="220"/>
      <c r="G59" s="220"/>
      <c r="H59" s="220"/>
      <c r="I59" s="220"/>
      <c r="J59" s="220"/>
      <c r="K59" s="220"/>
      <c r="L59" s="219"/>
      <c r="M59" s="224"/>
      <c r="N59" s="36"/>
    </row>
    <row r="60" spans="2:14" ht="19.5" customHeight="1" thickBot="1">
      <c r="B60" s="250" t="s">
        <v>84</v>
      </c>
      <c r="C60" s="528"/>
      <c r="D60" s="528"/>
      <c r="E60" s="528"/>
      <c r="F60" s="528"/>
      <c r="G60" s="528"/>
      <c r="H60" s="528"/>
      <c r="I60" s="528"/>
      <c r="J60" s="528"/>
      <c r="K60" s="528"/>
      <c r="L60" s="542">
        <f>L57/L58</f>
        <v>6.3006045877148456</v>
      </c>
      <c r="M60" s="377"/>
      <c r="N60" s="36"/>
    </row>
    <row r="61" ht="11.25">
      <c r="N61" s="122"/>
    </row>
    <row r="62" spans="9:14" ht="11.25">
      <c r="I62" s="491"/>
      <c r="J62" s="491"/>
      <c r="K62" s="491"/>
      <c r="L62" s="491"/>
      <c r="M62" s="491"/>
      <c r="N62" s="130"/>
    </row>
    <row r="63" spans="11:13" ht="11.25">
      <c r="K63" s="181"/>
      <c r="L63" s="120"/>
      <c r="M63" s="172"/>
    </row>
    <row r="64" spans="11:13" ht="11.25">
      <c r="K64" s="181"/>
      <c r="L64" s="120"/>
      <c r="M64" s="138"/>
    </row>
    <row r="65" spans="11:12" ht="11.25">
      <c r="K65" s="122"/>
      <c r="L65" s="161"/>
    </row>
  </sheetData>
  <sheetProtection/>
  <mergeCells count="53">
    <mergeCell ref="C60:K60"/>
    <mergeCell ref="I16:K16"/>
    <mergeCell ref="L10:M10"/>
    <mergeCell ref="C58:K58"/>
    <mergeCell ref="L58:M58"/>
    <mergeCell ref="C9:D9"/>
    <mergeCell ref="C10:D10"/>
    <mergeCell ref="C12:E12"/>
    <mergeCell ref="C57:K57"/>
    <mergeCell ref="L57:M57"/>
    <mergeCell ref="I10:J10"/>
    <mergeCell ref="F10:G10"/>
    <mergeCell ref="L9:M9"/>
    <mergeCell ref="I9:J9"/>
    <mergeCell ref="F9:G9"/>
    <mergeCell ref="B16:B17"/>
    <mergeCell ref="L16:M16"/>
    <mergeCell ref="C54:K54"/>
    <mergeCell ref="C16:E16"/>
    <mergeCell ref="F16:H16"/>
    <mergeCell ref="L11:M11"/>
    <mergeCell ref="L13:M13"/>
    <mergeCell ref="F13:H13"/>
    <mergeCell ref="I12:K12"/>
    <mergeCell ref="F12:H12"/>
    <mergeCell ref="B2:M2"/>
    <mergeCell ref="L4:M4"/>
    <mergeCell ref="L8:M8"/>
    <mergeCell ref="B14:K14"/>
    <mergeCell ref="C11:E11"/>
    <mergeCell ref="C13:E13"/>
    <mergeCell ref="F11:H11"/>
    <mergeCell ref="I5:K5"/>
    <mergeCell ref="L5:M5"/>
    <mergeCell ref="L7:M7"/>
    <mergeCell ref="I62:M62"/>
    <mergeCell ref="C4:E4"/>
    <mergeCell ref="F4:H4"/>
    <mergeCell ref="I4:K4"/>
    <mergeCell ref="I13:K13"/>
    <mergeCell ref="I11:K11"/>
    <mergeCell ref="C5:E5"/>
    <mergeCell ref="C7:E7"/>
    <mergeCell ref="F5:H5"/>
    <mergeCell ref="F7:H7"/>
    <mergeCell ref="C6:E6"/>
    <mergeCell ref="I6:K6"/>
    <mergeCell ref="L6:M6"/>
    <mergeCell ref="I8:J8"/>
    <mergeCell ref="I7:K7"/>
    <mergeCell ref="C8:D8"/>
    <mergeCell ref="F8:G8"/>
    <mergeCell ref="F6:H6"/>
  </mergeCells>
  <printOptions horizontalCentered="1" vertic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scale="80" r:id="rId3"/>
  <headerFooter alignWithMargins="0">
    <oddHeader>&amp;C&amp;A</oddHeader>
    <oddFooter>&amp;CPágina &amp;P de &amp;N</oddFooter>
  </headerFooter>
  <ignoredErrors>
    <ignoredError sqref="H23 E48 H48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16" sqref="K16"/>
    </sheetView>
  </sheetViews>
  <sheetFormatPr defaultColWidth="9.00390625" defaultRowHeight="12.75"/>
  <cols>
    <col min="1" max="1" width="24.25390625" style="0" bestFit="1" customWidth="1"/>
    <col min="2" max="2" width="16.50390625" style="0" bestFit="1" customWidth="1"/>
    <col min="3" max="3" width="7.125" style="0" bestFit="1" customWidth="1"/>
    <col min="4" max="4" width="11.125" style="0" customWidth="1"/>
    <col min="5" max="5" width="16.125" style="0" bestFit="1" customWidth="1"/>
    <col min="6" max="6" width="3.25390625" style="0" hidden="1" customWidth="1"/>
  </cols>
  <sheetData>
    <row r="1" spans="1:6" ht="16.5" thickBot="1">
      <c r="A1" s="385" t="s">
        <v>149</v>
      </c>
      <c r="B1" s="378" t="s">
        <v>139</v>
      </c>
      <c r="C1" s="379" t="s">
        <v>140</v>
      </c>
      <c r="D1" s="380" t="s">
        <v>141</v>
      </c>
      <c r="E1" s="381" t="s">
        <v>142</v>
      </c>
      <c r="F1" s="351" t="s">
        <v>143</v>
      </c>
    </row>
    <row r="2" spans="1:6" ht="15.75">
      <c r="A2" s="352" t="s">
        <v>73</v>
      </c>
      <c r="B2" s="349"/>
      <c r="C2" s="350"/>
      <c r="D2" s="349"/>
      <c r="E2" s="349"/>
      <c r="F2" s="349"/>
    </row>
    <row r="3" spans="1:6" ht="15.75">
      <c r="A3" s="353" t="s">
        <v>144</v>
      </c>
      <c r="B3" s="382">
        <f>'TÁRIFA '!L21</f>
        <v>1.815253103413649</v>
      </c>
      <c r="C3" s="354">
        <f>B3/$B$42</f>
        <v>0.17008282539607686</v>
      </c>
      <c r="D3" s="355">
        <f>C3*'TÁRIFA '!L60</f>
        <v>1.071624629982025</v>
      </c>
      <c r="E3" s="356">
        <f>D3*'TÁRIFA '!$L$14</f>
        <v>1672269.1634623199</v>
      </c>
      <c r="F3" s="356">
        <f>E3*'[1]TÁRIFA '!$T$17</f>
        <v>20067229.961547837</v>
      </c>
    </row>
    <row r="4" spans="1:6" ht="15.75">
      <c r="A4" s="353" t="s">
        <v>117</v>
      </c>
      <c r="B4" s="382">
        <f>'TÁRIFA '!L22</f>
        <v>0.016640740222934127</v>
      </c>
      <c r="C4" s="354">
        <f aca="true" t="shared" si="0" ref="C4:C9">B4/$B$42</f>
        <v>0.0015591787770401213</v>
      </c>
      <c r="D4" s="355">
        <f>C4*'TÁRIFA '!$L$60</f>
        <v>0.00982376895568661</v>
      </c>
      <c r="E4" s="356">
        <f>D4*'TÁRIFA '!$L$14</f>
        <v>15329.981631579998</v>
      </c>
      <c r="F4" s="356">
        <f>E4*'[1]TÁRIFA '!$T$17</f>
        <v>183959.77957895998</v>
      </c>
    </row>
    <row r="5" spans="1:6" ht="15.75">
      <c r="A5" s="353" t="s">
        <v>0</v>
      </c>
      <c r="B5" s="382">
        <f>'TÁRIFA '!L23</f>
        <v>0.09159469218182917</v>
      </c>
      <c r="C5" s="354">
        <f t="shared" si="0"/>
        <v>0.00858210020865585</v>
      </c>
      <c r="D5" s="355">
        <f>C5*'TÁRIFA '!$L$60</f>
        <v>0.05407241994688558</v>
      </c>
      <c r="E5" s="356">
        <f>D5*'TÁRIFA '!$L$14</f>
        <v>84379.95725469501</v>
      </c>
      <c r="F5" s="356">
        <f>E5*'[1]TÁRIFA '!$T$17</f>
        <v>1012559.4870563401</v>
      </c>
    </row>
    <row r="6" spans="1:6" ht="15.75">
      <c r="A6" s="357" t="s">
        <v>55</v>
      </c>
      <c r="B6" s="382">
        <f>'TÁRIFA '!L24</f>
        <v>0.10141690484483502</v>
      </c>
      <c r="C6" s="354">
        <f t="shared" si="0"/>
        <v>0.009502406957187806</v>
      </c>
      <c r="D6" s="355">
        <f>C6*'TÁRIFA '!$L$60</f>
        <v>0.059870908868790956</v>
      </c>
      <c r="E6" s="356">
        <f>D6*'TÁRIFA '!$L$14</f>
        <v>93428.49341883943</v>
      </c>
      <c r="F6" s="356">
        <f>E6*'[1]TÁRIFA '!$T$17</f>
        <v>1121141.9210260732</v>
      </c>
    </row>
    <row r="7" spans="1:6" ht="15.75">
      <c r="A7" s="357" t="s">
        <v>56</v>
      </c>
      <c r="B7" s="382">
        <f>'TÁRIFA '!L25</f>
        <v>0.015769257504559254</v>
      </c>
      <c r="C7" s="354">
        <f t="shared" si="0"/>
        <v>0.0014775239142849987</v>
      </c>
      <c r="D7" s="355">
        <f>C7*'TÁRIFA '!$L$60</f>
        <v>0.00930929395280246</v>
      </c>
      <c r="E7" s="356">
        <f>D7*'TÁRIFA '!$L$14</f>
        <v>14527.143904054286</v>
      </c>
      <c r="F7" s="356">
        <f>E7*'[1]TÁRIFA '!$T$17</f>
        <v>174325.72684865142</v>
      </c>
    </row>
    <row r="8" spans="1:6" ht="15.75">
      <c r="A8" s="357" t="s">
        <v>57</v>
      </c>
      <c r="B8" s="382">
        <f>'TÁRIFA '!L26</f>
        <v>0.07178321368701213</v>
      </c>
      <c r="C8" s="354">
        <f t="shared" si="0"/>
        <v>0.006725834417766712</v>
      </c>
      <c r="D8" s="355">
        <f>C8*'TÁRIFA '!$L$60</f>
        <v>0.04237682318879135</v>
      </c>
      <c r="E8" s="356">
        <f>D8*'TÁRIFA '!$L$14</f>
        <v>66128.99020928571</v>
      </c>
      <c r="F8" s="356">
        <f>E8*'[1]TÁRIFA '!$T$17</f>
        <v>793547.8825114286</v>
      </c>
    </row>
    <row r="9" spans="1:6" ht="15.75">
      <c r="A9" s="357" t="s">
        <v>58</v>
      </c>
      <c r="B9" s="382">
        <f>'TÁRIFA '!L27</f>
        <v>0.010866203561243074</v>
      </c>
      <c r="C9" s="354">
        <f t="shared" si="0"/>
        <v>0.001018125020444594</v>
      </c>
      <c r="D9" s="355">
        <f>C9*'TÁRIFA '!$L$60</f>
        <v>0.00641480317468048</v>
      </c>
      <c r="E9" s="356">
        <f>D9*'TÁRIFA '!$L$14</f>
        <v>10010.293939285715</v>
      </c>
      <c r="F9" s="356">
        <f>E9*'[1]TÁRIFA '!$T$17</f>
        <v>120123.52727142858</v>
      </c>
    </row>
    <row r="10" spans="1:6" ht="15.75">
      <c r="A10" s="358" t="s">
        <v>145</v>
      </c>
      <c r="B10" s="383">
        <f>SUM(B3:B9)</f>
        <v>2.1233241154160614</v>
      </c>
      <c r="C10" s="359">
        <f>SUM(C3:C9)</f>
        <v>0.19894799469145694</v>
      </c>
      <c r="D10" s="360">
        <f>SUM(D3:D9)</f>
        <v>1.2534926480696624</v>
      </c>
      <c r="E10" s="361">
        <f>SUM(E3:E9)</f>
        <v>1956074.02382006</v>
      </c>
      <c r="F10" s="361">
        <f>SUM(F3:F9)</f>
        <v>23472888.28584072</v>
      </c>
    </row>
    <row r="11" spans="1:6" ht="15.75">
      <c r="A11" s="9"/>
      <c r="B11" s="349"/>
      <c r="C11" s="350"/>
      <c r="D11" s="362"/>
      <c r="E11" s="363"/>
      <c r="F11" s="364"/>
    </row>
    <row r="12" spans="1:6" ht="15.75">
      <c r="A12" s="352" t="s">
        <v>74</v>
      </c>
      <c r="B12" s="349" t="s">
        <v>105</v>
      </c>
      <c r="C12" s="350" t="s">
        <v>105</v>
      </c>
      <c r="D12" s="362" t="s">
        <v>105</v>
      </c>
      <c r="E12" s="363" t="s">
        <v>105</v>
      </c>
      <c r="F12" s="365"/>
    </row>
    <row r="13" spans="1:6" ht="15.75">
      <c r="A13" s="366" t="s">
        <v>3</v>
      </c>
      <c r="B13" s="384">
        <f>'TÁRIFA '!L30</f>
        <v>0.8009208052980762</v>
      </c>
      <c r="C13" s="367">
        <f>B13/$B$42</f>
        <v>0.07504345990508206</v>
      </c>
      <c r="D13" s="368">
        <f>C13*'TÁRIFA '!$L$60</f>
        <v>0.47281916775595506</v>
      </c>
      <c r="E13" s="369">
        <f>D13*'TÁRIFA '!$L$14</f>
        <v>737833.8384640001</v>
      </c>
      <c r="F13" s="369">
        <f>E13*'[1]TÁRIFA '!$T$17</f>
        <v>8854006.061568001</v>
      </c>
    </row>
    <row r="14" spans="1:6" ht="15.75">
      <c r="A14" s="370" t="s">
        <v>4</v>
      </c>
      <c r="B14" s="384">
        <f>'TÁRIFA '!L31</f>
        <v>1.949783545245918</v>
      </c>
      <c r="C14" s="367">
        <f aca="true" t="shared" si="1" ref="C14:C24">B14/$B$42</f>
        <v>0.18268785419651562</v>
      </c>
      <c r="D14" s="368">
        <f>C14*'TÁRIFA '!$L$60</f>
        <v>1.1510439322703472</v>
      </c>
      <c r="E14" s="369">
        <f>D14*'TÁRIFA '!$L$14</f>
        <v>1796202.9052639445</v>
      </c>
      <c r="F14" s="369">
        <f>E14*'[1]TÁRIFA '!$T$17</f>
        <v>21554434.863167334</v>
      </c>
    </row>
    <row r="15" spans="1:6" ht="15.75">
      <c r="A15" s="370" t="s">
        <v>5</v>
      </c>
      <c r="B15" s="384">
        <f>'TÁRIFA '!L32</f>
        <v>1.0373534220355616</v>
      </c>
      <c r="C15" s="367">
        <f t="shared" si="1"/>
        <v>0.09719636375902786</v>
      </c>
      <c r="D15" s="368">
        <f>C15*'TÁRIFA '!$L$60</f>
        <v>0.612395855409332</v>
      </c>
      <c r="E15" s="369">
        <f>D15*'TÁRIFA '!$L$14</f>
        <v>955643.1199704071</v>
      </c>
      <c r="F15" s="369">
        <f>E15*'[1]TÁRIFA '!$T$17</f>
        <v>11467717.439644884</v>
      </c>
    </row>
    <row r="16" spans="1:6" ht="15.75">
      <c r="A16" s="370" t="s">
        <v>59</v>
      </c>
      <c r="B16" s="384">
        <f>'TÁRIFA '!L33</f>
        <v>0.12533504869772247</v>
      </c>
      <c r="C16" s="367">
        <f t="shared" si="1"/>
        <v>0.011743452835075998</v>
      </c>
      <c r="D16" s="368">
        <f>C16*'TÁRIFA '!$L$60</f>
        <v>0.07399085280829273</v>
      </c>
      <c r="E16" s="369">
        <f>D16*'TÁRIFA '!$L$14</f>
        <v>115462.651816488</v>
      </c>
      <c r="F16" s="369">
        <f>E16*'[1]TÁRIFA '!$T$17</f>
        <v>1385551.821797856</v>
      </c>
    </row>
    <row r="17" spans="1:6" ht="15.75">
      <c r="A17" s="366" t="s">
        <v>6</v>
      </c>
      <c r="B17" s="384">
        <f>'TÁRIFA '!L34</f>
        <v>0.42018372215719224</v>
      </c>
      <c r="C17" s="367">
        <f t="shared" si="1"/>
        <v>0.03936973555673363</v>
      </c>
      <c r="D17" s="368">
        <f>C17*'TÁRIFA '!$L$60</f>
        <v>0.24805313646587618</v>
      </c>
      <c r="E17" s="369">
        <f>D17*'TÁRIFA '!$L$14</f>
        <v>387086.67140186334</v>
      </c>
      <c r="F17" s="369">
        <f>E17*'[1]TÁRIFA '!$T$17</f>
        <v>4645040.05682236</v>
      </c>
    </row>
    <row r="18" spans="1:6" ht="15.75">
      <c r="A18" s="366" t="s">
        <v>44</v>
      </c>
      <c r="B18" s="384">
        <f>'TÁRIFA '!L35</f>
        <v>1.0609671709238173</v>
      </c>
      <c r="C18" s="367">
        <f t="shared" si="1"/>
        <v>0.0994088889003182</v>
      </c>
      <c r="D18" s="368">
        <f>C18*'TÁRIFA '!$L$60</f>
        <v>0.6263361014649802</v>
      </c>
      <c r="E18" s="369">
        <f>D18*'TÁRIFA '!$L$14</f>
        <v>977396.8600000001</v>
      </c>
      <c r="F18" s="369">
        <f>E18*'[1]TÁRIFA '!$T$17</f>
        <v>11728762.32</v>
      </c>
    </row>
    <row r="19" spans="1:6" ht="15.75">
      <c r="A19" s="366" t="s">
        <v>7</v>
      </c>
      <c r="B19" s="384">
        <f>'TÁRIFA '!L36</f>
        <v>0.02227942916033212</v>
      </c>
      <c r="C19" s="367">
        <f t="shared" si="1"/>
        <v>0.002087504080105978</v>
      </c>
      <c r="D19" s="368">
        <f>C19*'TÁRIFA '!$L$60</f>
        <v>0.013152537783989183</v>
      </c>
      <c r="E19" s="369">
        <f>D19*'TÁRIFA '!$L$14</f>
        <v>20524.522059377337</v>
      </c>
      <c r="F19" s="369">
        <f>E19*'[1]TÁRIFA '!$T$17</f>
        <v>246294.26471252803</v>
      </c>
    </row>
    <row r="20" spans="1:6" ht="15.75">
      <c r="A20" s="366" t="s">
        <v>8</v>
      </c>
      <c r="B20" s="384">
        <f>'TÁRIFA '!L37</f>
        <v>0</v>
      </c>
      <c r="C20" s="367">
        <f t="shared" si="1"/>
        <v>0</v>
      </c>
      <c r="D20" s="368">
        <f>C20*'TÁRIFA '!$L$60</f>
        <v>0</v>
      </c>
      <c r="E20" s="369">
        <f>D20*'TÁRIFA '!$L$14</f>
        <v>0</v>
      </c>
      <c r="F20" s="369">
        <f>E20*'[1]TÁRIFA '!$T$17</f>
        <v>0</v>
      </c>
    </row>
    <row r="21" spans="1:6" ht="15.75">
      <c r="A21" s="366" t="s">
        <v>72</v>
      </c>
      <c r="B21" s="384">
        <f>'TÁRIFA '!L38</f>
        <v>0.0340537308370439</v>
      </c>
      <c r="C21" s="367">
        <f t="shared" si="1"/>
        <v>0.0031907146971130113</v>
      </c>
      <c r="D21" s="368">
        <f>C21*'TÁRIFA '!$L$60</f>
        <v>0.020103431658719424</v>
      </c>
      <c r="E21" s="369">
        <f>D21*'TÁRIFA '!$L$14</f>
        <v>31371.385000000002</v>
      </c>
      <c r="F21" s="369">
        <f>E21*'[1]TÁRIFA '!$T$17</f>
        <v>376456.62</v>
      </c>
    </row>
    <row r="22" spans="1:6" ht="15.75">
      <c r="A22" s="366" t="s">
        <v>12</v>
      </c>
      <c r="B22" s="384">
        <f>'TÁRIFA '!L39</f>
        <v>0.32680956167781616</v>
      </c>
      <c r="C22" s="367">
        <f t="shared" si="1"/>
        <v>0.030620905433015037</v>
      </c>
      <c r="D22" s="368">
        <f>C22*'TÁRIFA '!$L$60</f>
        <v>0.192930217251237</v>
      </c>
      <c r="E22" s="369">
        <f>D22*'TÁRIFA '!$L$14</f>
        <v>301067.4110903381</v>
      </c>
      <c r="F22" s="369">
        <f>E22*'[1]TÁRIFA '!$T$17</f>
        <v>3612808.9330840567</v>
      </c>
    </row>
    <row r="23" spans="1:6" ht="15.75">
      <c r="A23" s="366" t="s">
        <v>10</v>
      </c>
      <c r="B23" s="384">
        <f>'TÁRIFA '!L40</f>
        <v>0.46346340695863447</v>
      </c>
      <c r="C23" s="367">
        <f t="shared" si="1"/>
        <v>0.043424889661380556</v>
      </c>
      <c r="D23" s="368">
        <f>C23*'TÁRIFA '!$L$60</f>
        <v>0.2736030590215053</v>
      </c>
      <c r="E23" s="369">
        <f>D23*'TÁRIFA '!$L$14</f>
        <v>426957.3</v>
      </c>
      <c r="F23" s="369">
        <f>E23*'[1]TÁRIFA '!$T$17</f>
        <v>5123487.6</v>
      </c>
    </row>
    <row r="24" spans="1:6" ht="15.75">
      <c r="A24" s="366" t="s">
        <v>11</v>
      </c>
      <c r="B24" s="384">
        <f>'TÁRIFA '!L41</f>
        <v>0.2015121698568437</v>
      </c>
      <c r="C24" s="367">
        <f t="shared" si="1"/>
        <v>0.01888098091472373</v>
      </c>
      <c r="D24" s="368">
        <f>C24*'TÁRIFA '!$L$60</f>
        <v>0.11896159497186477</v>
      </c>
      <c r="E24" s="369">
        <f>D24*'TÁRIFA '!$L$14</f>
        <v>185639.449992</v>
      </c>
      <c r="F24" s="369">
        <f>E24*'[1]TÁRIFA '!$T$17</f>
        <v>2227673.399904</v>
      </c>
    </row>
    <row r="25" spans="1:6" ht="15.75">
      <c r="A25" s="358" t="s">
        <v>146</v>
      </c>
      <c r="B25" s="383">
        <f>SUM(B13:B24)</f>
        <v>6.442662012848959</v>
      </c>
      <c r="C25" s="359">
        <f>SUM(C13:C24)</f>
        <v>0.6036547499390915</v>
      </c>
      <c r="D25" s="360">
        <f>SUM(D13:D24)</f>
        <v>3.803389886862099</v>
      </c>
      <c r="E25" s="361">
        <f>SUM(E13:E24)</f>
        <v>5935186.115058418</v>
      </c>
      <c r="F25" s="361">
        <f>SUM(F13:F24)</f>
        <v>71222233.38070102</v>
      </c>
    </row>
    <row r="26" spans="1:6" ht="15.75">
      <c r="A26" s="9"/>
      <c r="B26" s="349"/>
      <c r="C26" s="350"/>
      <c r="D26" s="362"/>
      <c r="E26" s="363"/>
      <c r="F26" s="364"/>
    </row>
    <row r="27" spans="1:6" ht="15.75">
      <c r="A27" s="352" t="s">
        <v>81</v>
      </c>
      <c r="B27" s="349">
        <f>B25+B10</f>
        <v>8.56598612826502</v>
      </c>
      <c r="C27" s="350">
        <f>C25+C10</f>
        <v>0.8026027446305485</v>
      </c>
      <c r="D27" s="349">
        <f>D25+D10</f>
        <v>5.056882534931761</v>
      </c>
      <c r="E27" s="371">
        <f>E25+E10</f>
        <v>7891260.138878479</v>
      </c>
      <c r="F27" s="371">
        <f>F25+F10</f>
        <v>94695121.66654174</v>
      </c>
    </row>
    <row r="28" spans="1:6" ht="15.75">
      <c r="A28" s="9"/>
      <c r="B28" s="349" t="s">
        <v>105</v>
      </c>
      <c r="C28" s="350" t="s">
        <v>105</v>
      </c>
      <c r="D28" s="362" t="s">
        <v>105</v>
      </c>
      <c r="E28" s="363"/>
      <c r="F28" s="364"/>
    </row>
    <row r="29" spans="1:6" ht="15.75">
      <c r="A29" s="352" t="s">
        <v>82</v>
      </c>
      <c r="B29" s="349" t="s">
        <v>105</v>
      </c>
      <c r="C29" s="350" t="s">
        <v>105</v>
      </c>
      <c r="D29" s="362" t="s">
        <v>105</v>
      </c>
      <c r="E29" s="363"/>
      <c r="F29" s="365"/>
    </row>
    <row r="30" spans="1:6" ht="15.75">
      <c r="A30" s="353" t="s">
        <v>76</v>
      </c>
      <c r="B30" s="382">
        <f>'TÁRIFA '!L46</f>
        <v>0.6857403517181951</v>
      </c>
      <c r="C30" s="354">
        <f>B30/$B$42</f>
        <v>0.06425145688444117</v>
      </c>
      <c r="D30" s="355">
        <f>C30*'TÁRIFA '!$L$60</f>
        <v>0.40482302401347264</v>
      </c>
      <c r="E30" s="356">
        <f>D30*'TÁRIFA '!$L$14</f>
        <v>631725.9241500001</v>
      </c>
      <c r="F30" s="356">
        <f>E30*'[1]TÁRIFA '!$T$17</f>
        <v>7580711.089800001</v>
      </c>
    </row>
    <row r="31" spans="1:6" ht="15.75">
      <c r="A31" s="353" t="s">
        <v>75</v>
      </c>
      <c r="B31" s="382">
        <f>'TÁRIFA '!L47</f>
        <v>0.014044345665413167</v>
      </c>
      <c r="C31" s="354">
        <f>B31/$B$42</f>
        <v>0.0013159057473145625</v>
      </c>
      <c r="D31" s="355">
        <f>C31*'TÁRIFA '!$L$60</f>
        <v>0.008291001788530464</v>
      </c>
      <c r="E31" s="356">
        <f>D31*'TÁRIFA '!$L$14</f>
        <v>12938.1</v>
      </c>
      <c r="F31" s="356">
        <f>E31*'[1]TÁRIFA '!$T$17</f>
        <v>155257.2</v>
      </c>
    </row>
    <row r="32" spans="1:6" ht="15.75">
      <c r="A32" s="353" t="s">
        <v>77</v>
      </c>
      <c r="B32" s="382">
        <f>'TÁRIFA '!L48</f>
        <v>0.3694754877616849</v>
      </c>
      <c r="C32" s="354">
        <f>B32/$B$42</f>
        <v>0.03461855250649366</v>
      </c>
      <c r="D32" s="355">
        <f>C32*'TÁRIFA '!$L$60</f>
        <v>0.21811781074246125</v>
      </c>
      <c r="E32" s="356">
        <f>D32*'TÁRIFA '!$L$14</f>
        <v>340372.6255458</v>
      </c>
      <c r="F32" s="356">
        <f>E32*'[1]TÁRIFA '!$T$17</f>
        <v>4084471.5065496005</v>
      </c>
    </row>
    <row r="33" spans="1:6" ht="15.75">
      <c r="A33" s="353" t="s">
        <v>78</v>
      </c>
      <c r="B33" s="382">
        <f>'TÁRIFA '!L49</f>
        <v>0.05617738266165267</v>
      </c>
      <c r="C33" s="354">
        <f>B33/$B$42</f>
        <v>0.00526362298925825</v>
      </c>
      <c r="D33" s="355">
        <f>C33*'TÁRIFA '!$L$60</f>
        <v>0.033164007154121856</v>
      </c>
      <c r="E33" s="356">
        <f>D33*'TÁRIFA '!$L$14</f>
        <v>51752.4</v>
      </c>
      <c r="F33" s="356">
        <f>E33*'[1]TÁRIFA '!$T$17</f>
        <v>621028.8</v>
      </c>
    </row>
    <row r="34" spans="1:6" ht="15.75">
      <c r="A34" s="353" t="s">
        <v>79</v>
      </c>
      <c r="B34" s="382">
        <f>'TÁRIFA '!L50</f>
        <v>0.0421330369962395</v>
      </c>
      <c r="C34" s="354">
        <f>B34/$B$42</f>
        <v>0.003947717241943687</v>
      </c>
      <c r="D34" s="355">
        <f>C34*'TÁRIFA '!$L$60</f>
        <v>0.024873005365591394</v>
      </c>
      <c r="E34" s="356">
        <f>D34*'TÁRIFA '!$L$14</f>
        <v>38814.3</v>
      </c>
      <c r="F34" s="356">
        <f>E34*'[1]TÁRIFA '!$T$17</f>
        <v>465771.60000000003</v>
      </c>
    </row>
    <row r="35" spans="1:6" ht="15.75">
      <c r="A35" s="358" t="s">
        <v>147</v>
      </c>
      <c r="B35" s="383">
        <f>SUM(B30:B34)</f>
        <v>1.1675706048031855</v>
      </c>
      <c r="C35" s="359">
        <f>SUM(C30:C34)</f>
        <v>0.10939725536945134</v>
      </c>
      <c r="D35" s="360">
        <f>SUM(D30:D34)</f>
        <v>0.6892688490641776</v>
      </c>
      <c r="E35" s="361">
        <f>SUM(E30:E34)</f>
        <v>1075603.3496958</v>
      </c>
      <c r="F35" s="361">
        <f>SUM(F30:F34)</f>
        <v>12907240.196349602</v>
      </c>
    </row>
    <row r="36" spans="1:6" ht="15.75">
      <c r="A36" s="9"/>
      <c r="B36" s="349"/>
      <c r="C36" s="350"/>
      <c r="D36" s="362"/>
      <c r="E36" s="363"/>
      <c r="F36" s="364"/>
    </row>
    <row r="37" spans="1:6" ht="15.75">
      <c r="A37" s="352" t="s">
        <v>80</v>
      </c>
      <c r="B37" s="349">
        <f>B27+B35</f>
        <v>9.733556733068205</v>
      </c>
      <c r="C37" s="350">
        <f>C35+C27</f>
        <v>0.9119999999999998</v>
      </c>
      <c r="D37" s="349">
        <f>D27+D35</f>
        <v>5.746151383995938</v>
      </c>
      <c r="E37" s="371">
        <f>E27+E35</f>
        <v>8966863.48857428</v>
      </c>
      <c r="F37" s="371">
        <f>F27+F35</f>
        <v>107602361.86289135</v>
      </c>
    </row>
    <row r="38" spans="1:6" ht="15.75">
      <c r="A38" s="9"/>
      <c r="B38" s="349" t="s">
        <v>105</v>
      </c>
      <c r="C38" s="350" t="s">
        <v>105</v>
      </c>
      <c r="D38" s="362" t="s">
        <v>105</v>
      </c>
      <c r="E38" s="363"/>
      <c r="F38" s="364"/>
    </row>
    <row r="39" spans="1:6" ht="15.75">
      <c r="A39" s="372" t="s">
        <v>83</v>
      </c>
      <c r="B39" s="384">
        <f>'TÁRIFA '!L54</f>
        <v>0.5122924596351695</v>
      </c>
      <c r="C39" s="367">
        <f>B39/B42</f>
        <v>0.04800000000000006</v>
      </c>
      <c r="D39" s="368">
        <f>C39*'TÁRIFA '!L60</f>
        <v>0.302429020210313</v>
      </c>
      <c r="E39" s="369">
        <f>D39*'TÁRIFA '!L14</f>
        <v>471940.1836091732</v>
      </c>
      <c r="F39" s="369">
        <f>E39*'[1]TÁRIFA '!$T$17</f>
        <v>5663282.203310079</v>
      </c>
    </row>
    <row r="40" spans="1:6" ht="15.75">
      <c r="A40" s="373" t="s">
        <v>9</v>
      </c>
      <c r="B40" s="384">
        <f>'TÁRIFA '!L55</f>
        <v>0.4269103830293073</v>
      </c>
      <c r="C40" s="367">
        <f>B40/B42</f>
        <v>0.04</v>
      </c>
      <c r="D40" s="368">
        <f>C40*'TÁRIFA '!L60</f>
        <v>0.25202418350859385</v>
      </c>
      <c r="E40" s="369">
        <f>D40*'TÁRIFA '!L14</f>
        <v>393283.4863409772</v>
      </c>
      <c r="F40" s="369">
        <f>E40*'[1]TÁRIFA '!$T$17</f>
        <v>4719401.836091726</v>
      </c>
    </row>
    <row r="41" spans="1:6" ht="16.5" thickBot="1">
      <c r="A41" s="374"/>
      <c r="B41" s="349" t="s">
        <v>105</v>
      </c>
      <c r="C41" s="375"/>
      <c r="D41" s="362" t="s">
        <v>105</v>
      </c>
      <c r="E41" s="363"/>
      <c r="F41" s="364"/>
    </row>
    <row r="42" spans="1:6" ht="16.5" thickBot="1">
      <c r="A42" s="388" t="s">
        <v>148</v>
      </c>
      <c r="B42" s="389">
        <f>B37+B39+B40</f>
        <v>10.672759575732682</v>
      </c>
      <c r="C42" s="390">
        <f>C37+C39+C40</f>
        <v>0.9999999999999999</v>
      </c>
      <c r="D42" s="391">
        <f>C42*'TÁRIFA '!L60</f>
        <v>6.300604587714845</v>
      </c>
      <c r="E42" s="392">
        <f>D42*'TÁRIFA '!L14</f>
        <v>9832087.158524428</v>
      </c>
      <c r="F42" s="376">
        <f>F37+F39+F40</f>
        <v>117985045.90229315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FUNCIONARIOS</dc:creator>
  <cp:keywords/>
  <dc:description/>
  <cp:lastModifiedBy>Diego Vaz</cp:lastModifiedBy>
  <cp:lastPrinted>2021-08-24T22:42:19Z</cp:lastPrinted>
  <dcterms:created xsi:type="dcterms:W3CDTF">1999-04-07T20:57:43Z</dcterms:created>
  <dcterms:modified xsi:type="dcterms:W3CDTF">2024-03-28T11:35:29Z</dcterms:modified>
  <cp:category/>
  <cp:version/>
  <cp:contentType/>
  <cp:contentStatus/>
</cp:coreProperties>
</file>