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tabRatio="978" activeTab="2"/>
  </bookViews>
  <sheets>
    <sheet name="KM, PASSAGEIROS E PESSOAL" sheetId="1" r:id="rId1"/>
    <sheet name="FROTA E CUSTOS" sheetId="2" r:id="rId2"/>
    <sheet name="TÁRIFA " sheetId="3" r:id="rId3"/>
    <sheet name="REMUNERAÇÃO PROJETADA" sheetId="4" r:id="rId4"/>
  </sheets>
  <externalReferences>
    <externalReference r:id="rId7"/>
  </externalReference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<sst xmlns="http://schemas.openxmlformats.org/spreadsheetml/2006/main" count="265" uniqueCount="158">
  <si>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</si>
  <si>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</si>
  <si>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</si>
  <si>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</si>
  <si>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</si>
  <si>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</si>
  <si>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</si>
  <si>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</si>
  <si>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</si>
  <si>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</si>
  <si>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</si>
  <si>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</si>
  <si>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</si>
  <si>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</si>
  <si>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</si>
  <si>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</si>
  <si>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</si>
  <si>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</si>
  <si>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</si>
  <si>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</si>
  <si>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</si>
  <si>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</si>
  <si>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</si>
  <si>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</si>
  <si>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</si>
  <si>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</si>
  <si>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</si>
  <si>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</si>
  <si>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</si>
  <si>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</si>
  <si>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</si>
  <si>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</si>
  <si>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</si>
  <si>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</si>
  <si>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</si>
  <si>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</si>
  <si>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</si>
  <si>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</si>
  <si>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</si>
  <si>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</si>
  <si>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</si>
  <si>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</si>
  <si>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</si>
  <si>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</si>
  <si>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</si>
  <si>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</si>
  <si>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</si>
  <si>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</si>
  <si>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</si>
  <si>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</si>
  <si>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</si>
  <si>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</si>
  <si>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</si>
  <si>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</si>
  <si>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</si>
  <si>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</si>
  <si>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</si>
  <si>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</si>
  <si>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</si>
  <si>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</si>
  <si>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</si>
  <si>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</si>
  <si>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</si>
  <si>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</si>
  <si>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</si>
  <si>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</si>
  <si>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</si>
  <si>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</si>
  <si>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</si>
  <si>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</si>
  <si>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</si>
  <si>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</si>
  <si>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</si>
  <si>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</si>
  <si>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</si>
  <si>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</si>
  <si>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</si>
  <si>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</si>
  <si>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</si>
  <si>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</si>
  <si>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</si>
  <si>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</si>
  <si>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</si>
  <si>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</si>
  <si>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</si>
  <si>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</si>
  <si>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</si>
  <si>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</si>
  <si>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</si>
  <si>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</si>
  <si>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</si>
  <si>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</si>
  <si>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</si>
  <si>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</si>
  <si>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</si>
  <si>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</si>
  <si>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</si>
  <si>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</si>
  <si>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</si>
  <si>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</si>
  <si>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</si>
  <si>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</si>
  <si>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</si>
  <si>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</si>
  <si>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</si>
  <si>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</si>
  <si>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</si>
  <si>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</si>
  <si>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</si>
  <si>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</si>
  <si>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</si>
  <si>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</si>
  <si>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</si>
  <si>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</si>
  <si>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</si>
  <si>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</si>
  <si>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</si>
  <si>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</si>
  <si>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</si>
  <si>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</si>
  <si>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</si>
  <si>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</si>
  <si>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</si>
  <si>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</si>
  <si>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</si>
  <si>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</si>
  <si>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</si>
  <si>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</si>
  <si>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</si>
  <si>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</si>
  <si>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</si>
  <si>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</si>
  <si>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</si>
  <si>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</si>
  <si>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</si>
  <si>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</si>
  <si>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</si>
  <si>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</si>
  <si>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</si>
  <si>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</si>
  <si>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</si>
  <si>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</si>
  <si>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</si>
  <si>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</si>
  <si>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</si>
  <si>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</si>
  <si>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</si>
  <si>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</si>
  <si>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</si>
  <si>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</si>
  <si>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</si>
  <si>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</si>
  <si>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</si>
  <si>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</si>
  <si>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</si>
  <si>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setembro - 2023</t>
  </si>
  <si>
    <t>Quilometragem Diária Considerada - outubro -  versao 107.1</t>
  </si>
  <si>
    <t>FATORES DE UTILIZAÇÃO DE MOTORISTAS E COBRADORES 2023 - versao 107.1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</si>
</sst>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5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10" borderId="0" applyNumberFormat="0" applyBorder="0" applyAlignment="0" applyProtection="0"/>
    <xf numFmtId="0" fontId="62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14" borderId="0" applyNumberFormat="0" applyBorder="0" applyAlignment="0" applyProtection="0"/>
    <xf numFmtId="0" fontId="14" fillId="15" borderId="0" applyNumberFormat="0" applyBorder="0" applyAlignment="0" applyProtection="0"/>
    <xf numFmtId="0" fontId="62" fillId="16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14" fillId="10" borderId="0" applyNumberFormat="0" applyBorder="0" applyAlignment="0" applyProtection="0"/>
    <xf numFmtId="0" fontId="62" fillId="19" borderId="0" applyNumberFormat="0" applyBorder="0" applyAlignment="0" applyProtection="0"/>
    <xf numFmtId="0" fontId="14" fillId="6" borderId="0" applyNumberFormat="0" applyBorder="0" applyAlignment="0" applyProtection="0"/>
    <xf numFmtId="0" fontId="62" fillId="20" borderId="0" applyNumberFormat="0" applyBorder="0" applyAlignment="0" applyProtection="0"/>
    <xf numFmtId="0" fontId="15" fillId="1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24" borderId="0" applyNumberFormat="0" applyBorder="0" applyAlignment="0" applyProtection="0"/>
    <xf numFmtId="0" fontId="63" fillId="25" borderId="0" applyNumberFormat="0" applyBorder="0" applyAlignment="0" applyProtection="0"/>
    <xf numFmtId="0" fontId="15" fillId="17" borderId="0" applyNumberFormat="0" applyBorder="0" applyAlignment="0" applyProtection="0"/>
    <xf numFmtId="0" fontId="63" fillId="26" borderId="0" applyNumberFormat="0" applyBorder="0" applyAlignment="0" applyProtection="0"/>
    <xf numFmtId="0" fontId="15" fillId="10" borderId="0" applyNumberFormat="0" applyBorder="0" applyAlignment="0" applyProtection="0"/>
    <xf numFmtId="0" fontId="63" fillId="27" borderId="0" applyNumberFormat="0" applyBorder="0" applyAlignment="0" applyProtection="0"/>
    <xf numFmtId="0" fontId="15" fillId="4" borderId="0" applyNumberFormat="0" applyBorder="0" applyAlignment="0" applyProtection="0"/>
    <xf numFmtId="0" fontId="63" fillId="28" borderId="0" applyNumberFormat="0" applyBorder="0" applyAlignment="0" applyProtection="0"/>
    <xf numFmtId="0" fontId="16" fillId="10" borderId="0" applyNumberFormat="0" applyBorder="0" applyAlignment="0" applyProtection="0"/>
    <xf numFmtId="0" fontId="64" fillId="29" borderId="0" applyNumberFormat="0" applyBorder="0" applyAlignment="0" applyProtection="0"/>
    <xf numFmtId="0" fontId="17" fillId="30" borderId="1" applyNumberFormat="0" applyAlignment="0" applyProtection="0"/>
    <xf numFmtId="0" fontId="65" fillId="31" borderId="2" applyNumberFormat="0" applyAlignment="0" applyProtection="0"/>
    <xf numFmtId="0" fontId="18" fillId="32" borderId="3" applyNumberFormat="0" applyAlignment="0" applyProtection="0"/>
    <xf numFmtId="0" fontId="66" fillId="33" borderId="4" applyNumberFormat="0" applyAlignment="0" applyProtection="0"/>
    <xf numFmtId="0" fontId="19" fillId="0" borderId="5" applyNumberFormat="0" applyFill="0" applyAlignment="0" applyProtection="0"/>
    <xf numFmtId="0" fontId="67" fillId="0" borderId="6" applyNumberFormat="0" applyFill="0" applyAlignment="0" applyProtection="0"/>
    <xf numFmtId="0" fontId="15" fillId="34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63" fillId="36" borderId="0" applyNumberFormat="0" applyBorder="0" applyAlignment="0" applyProtection="0"/>
    <xf numFmtId="0" fontId="15" fillId="24" borderId="0" applyNumberFormat="0" applyBorder="0" applyAlignment="0" applyProtection="0"/>
    <xf numFmtId="0" fontId="63" fillId="37" borderId="0" applyNumberFormat="0" applyBorder="0" applyAlignment="0" applyProtection="0"/>
    <xf numFmtId="0" fontId="15" fillId="38" borderId="0" applyNumberFormat="0" applyBorder="0" applyAlignment="0" applyProtection="0"/>
    <xf numFmtId="0" fontId="63" fillId="39" borderId="0" applyNumberFormat="0" applyBorder="0" applyAlignment="0" applyProtection="0"/>
    <xf numFmtId="0" fontId="15" fillId="40" borderId="0" applyNumberFormat="0" applyBorder="0" applyAlignment="0" applyProtection="0"/>
    <xf numFmtId="0" fontId="63" fillId="41" borderId="0" applyNumberFormat="0" applyBorder="0" applyAlignment="0" applyProtection="0"/>
    <xf numFmtId="0" fontId="15" fillId="42" borderId="0" applyNumberFormat="0" applyBorder="0" applyAlignment="0" applyProtection="0"/>
    <xf numFmtId="0" fontId="63" fillId="43" borderId="0" applyNumberFormat="0" applyBorder="0" applyAlignment="0" applyProtection="0"/>
    <xf numFmtId="0" fontId="20" fillId="15" borderId="1" applyNumberFormat="0" applyAlignment="0" applyProtection="0"/>
    <xf numFmtId="0" fontId="68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9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0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2" fillId="0" borderId="0">
      <alignment/>
      <protection/>
    </xf>
    <xf numFmtId="0" fontId="0" fillId="6" borderId="7" applyNumberFormat="0" applyFont="0" applyAlignment="0" applyProtection="0"/>
    <xf numFmtId="0" fontId="62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1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4" fillId="0" borderId="12" applyNumberFormat="0" applyFill="0" applyAlignment="0" applyProtection="0"/>
    <xf numFmtId="0" fontId="27" fillId="0" borderId="13" applyNumberFormat="0" applyFill="0" applyAlignment="0" applyProtection="0"/>
    <xf numFmtId="0" fontId="75" fillId="0" borderId="14" applyNumberFormat="0" applyFill="0" applyAlignment="0" applyProtection="0"/>
    <xf numFmtId="0" fontId="28" fillId="0" borderId="15" applyNumberFormat="0" applyFill="0" applyAlignment="0" applyProtection="0"/>
    <xf numFmtId="0" fontId="7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8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0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9" fillId="0" borderId="0" xfId="0" applyFont="1" applyAlignment="1">
      <alignment/>
    </xf>
    <xf numFmtId="37" fontId="79" fillId="0" borderId="0" xfId="0" applyFont="1" applyAlignment="1">
      <alignment/>
    </xf>
    <xf numFmtId="39" fontId="79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8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80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4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1" fillId="49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4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4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2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6" fillId="0" borderId="83" xfId="0" applyFont="1" applyFill="1" applyBorder="1" applyAlignment="1">
      <alignment horizontal="left" vertical="center" indent="1"/>
    </xf>
    <xf numFmtId="171" fontId="32" fillId="0" borderId="31" xfId="0" applyNumberFormat="1" applyFont="1" applyFill="1" applyBorder="1" applyAlignment="1">
      <alignment vertical="center"/>
    </xf>
    <xf numFmtId="171" fontId="30" fillId="0" borderId="25" xfId="0" applyNumberFormat="1" applyFont="1" applyFill="1" applyBorder="1" applyAlignment="1">
      <alignment horizontal="center" vertical="center"/>
    </xf>
    <xf numFmtId="171" fontId="11" fillId="0" borderId="43" xfId="0" applyNumberFormat="1" applyFont="1" applyFill="1" applyBorder="1" applyAlignment="1">
      <alignment horizontal="center" vertical="center"/>
    </xf>
    <xf numFmtId="171" fontId="32" fillId="0" borderId="48" xfId="0" applyNumberFormat="1" applyFont="1" applyFill="1" applyBorder="1" applyAlignment="1">
      <alignment horizontal="center" vertical="center"/>
    </xf>
    <xf numFmtId="171" fontId="32" fillId="0" borderId="31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10" fontId="11" fillId="0" borderId="84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176" fontId="39" fillId="0" borderId="0" xfId="0" applyNumberFormat="1" applyFont="1" applyAlignment="1">
      <alignment horizontal="center"/>
    </xf>
    <xf numFmtId="10" fontId="14" fillId="0" borderId="0" xfId="86" applyNumberFormat="1" applyFont="1" applyAlignment="1">
      <alignment horizontal="center"/>
    </xf>
    <xf numFmtId="37" fontId="14" fillId="52" borderId="0" xfId="0" applyFont="1" applyFill="1" applyAlignment="1">
      <alignment horizontal="center"/>
    </xf>
    <xf numFmtId="37" fontId="34" fillId="6" borderId="0" xfId="0" applyFont="1" applyFill="1" applyAlignment="1">
      <alignment horizontal="left" vertical="center" indent="1"/>
    </xf>
    <xf numFmtId="37" fontId="36" fillId="0" borderId="112" xfId="0" applyFont="1" applyBorder="1" applyAlignment="1">
      <alignment horizontal="left" vertical="center" indent="1"/>
    </xf>
    <xf numFmtId="10" fontId="14" fillId="0" borderId="112" xfId="86" applyNumberFormat="1" applyFont="1" applyBorder="1" applyAlignment="1">
      <alignment horizontal="center"/>
    </xf>
    <xf numFmtId="176" fontId="14" fillId="0" borderId="112" xfId="0" applyNumberFormat="1" applyFont="1" applyBorder="1" applyAlignment="1">
      <alignment horizontal="center"/>
    </xf>
    <xf numFmtId="178" fontId="14" fillId="0" borderId="112" xfId="77" applyNumberFormat="1" applyFont="1" applyBorder="1" applyAlignment="1">
      <alignment/>
    </xf>
    <xf numFmtId="37" fontId="36" fillId="0" borderId="112" xfId="0" applyFont="1" applyBorder="1" applyAlignment="1" quotePrefix="1">
      <alignment horizontal="left" vertical="center" indent="1"/>
    </xf>
    <xf numFmtId="37" fontId="38" fillId="2" borderId="0" xfId="0" applyFont="1" applyFill="1" applyAlignment="1">
      <alignment vertical="center"/>
    </xf>
    <xf numFmtId="10" fontId="14" fillId="2" borderId="112" xfId="86" applyNumberFormat="1" applyFont="1" applyFill="1" applyBorder="1" applyAlignment="1">
      <alignment horizontal="center"/>
    </xf>
    <xf numFmtId="176" fontId="14" fillId="2" borderId="112" xfId="0" applyNumberFormat="1" applyFont="1" applyFill="1" applyBorder="1" applyAlignment="1">
      <alignment horizontal="center"/>
    </xf>
    <xf numFmtId="178" fontId="14" fillId="2" borderId="112" xfId="77" applyNumberFormat="1" applyFont="1" applyFill="1" applyBorder="1" applyAlignment="1">
      <alignment/>
    </xf>
    <xf numFmtId="176" fontId="14" fillId="0" borderId="0" xfId="0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36" fillId="0" borderId="113" xfId="0" applyFont="1" applyBorder="1" applyAlignment="1">
      <alignment horizontal="left" vertical="center" indent="1"/>
    </xf>
    <xf numFmtId="10" fontId="14" fillId="0" borderId="113" xfId="86" applyNumberFormat="1" applyFont="1" applyBorder="1" applyAlignment="1">
      <alignment horizontal="center"/>
    </xf>
    <xf numFmtId="176" fontId="14" fillId="0" borderId="113" xfId="0" applyNumberFormat="1" applyFont="1" applyBorder="1" applyAlignment="1">
      <alignment horizontal="center"/>
    </xf>
    <xf numFmtId="178" fontId="14" fillId="0" borderId="113" xfId="77" applyNumberFormat="1" applyFont="1" applyBorder="1" applyAlignment="1">
      <alignment/>
    </xf>
    <xf numFmtId="37" fontId="36" fillId="0" borderId="113" xfId="0" applyFont="1" applyBorder="1" applyAlignment="1" quotePrefix="1">
      <alignment horizontal="left" vertical="center" indent="1"/>
    </xf>
    <xf numFmtId="178" fontId="39" fillId="0" borderId="0" xfId="77" applyNumberFormat="1" applyFont="1" applyAlignment="1">
      <alignment horizontal="center"/>
    </xf>
    <xf numFmtId="37" fontId="11" fillId="30" borderId="113" xfId="0" applyFont="1" applyFill="1" applyBorder="1" applyAlignment="1">
      <alignment horizontal="left" vertical="center" indent="1"/>
    </xf>
    <xf numFmtId="37" fontId="31" fillId="30" borderId="113" xfId="0" applyFont="1" applyFill="1" applyBorder="1" applyAlignment="1">
      <alignment horizontal="left" vertical="center" indent="1"/>
    </xf>
    <xf numFmtId="37" fontId="36" fillId="0" borderId="0" xfId="0" applyFont="1" applyAlignment="1">
      <alignment horizontal="left" vertical="center" indent="2"/>
    </xf>
    <xf numFmtId="37" fontId="15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214" fontId="41" fillId="15" borderId="70" xfId="77" applyNumberFormat="1" applyFont="1" applyFill="1" applyBorder="1" applyAlignment="1">
      <alignment vertical="center"/>
    </xf>
    <xf numFmtId="214" fontId="41" fillId="15" borderId="71" xfId="77" applyNumberFormat="1" applyFont="1" applyFill="1" applyBorder="1" applyAlignment="1">
      <alignment vertical="center"/>
    </xf>
    <xf numFmtId="176" fontId="39" fillId="0" borderId="114" xfId="0" applyNumberFormat="1" applyFont="1" applyBorder="1" applyAlignment="1">
      <alignment horizontal="center"/>
    </xf>
    <xf numFmtId="10" fontId="14" fillId="0" borderId="114" xfId="86" applyNumberFormat="1" applyFont="1" applyBorder="1" applyAlignment="1">
      <alignment horizontal="center"/>
    </xf>
    <xf numFmtId="176" fontId="14" fillId="13" borderId="114" xfId="0" applyNumberFormat="1" applyFont="1" applyFill="1" applyBorder="1" applyAlignment="1">
      <alignment horizontal="center"/>
    </xf>
    <xf numFmtId="37" fontId="14" fillId="13" borderId="115" xfId="0" applyFont="1" applyFill="1" applyBorder="1" applyAlignment="1">
      <alignment horizontal="center"/>
    </xf>
    <xf numFmtId="207" fontId="39" fillId="0" borderId="112" xfId="0" applyNumberFormat="1" applyFont="1" applyBorder="1" applyAlignment="1">
      <alignment horizontal="center"/>
    </xf>
    <xf numFmtId="207" fontId="39" fillId="2" borderId="112" xfId="0" applyNumberFormat="1" applyFont="1" applyFill="1" applyBorder="1" applyAlignment="1">
      <alignment horizontal="center"/>
    </xf>
    <xf numFmtId="207" fontId="39" fillId="0" borderId="113" xfId="0" applyNumberFormat="1" applyFont="1" applyBorder="1" applyAlignment="1">
      <alignment horizontal="center"/>
    </xf>
    <xf numFmtId="37" fontId="36" fillId="0" borderId="116" xfId="0" applyFont="1" applyBorder="1" applyAlignment="1">
      <alignment horizontal="center" vertical="center"/>
    </xf>
    <xf numFmtId="3" fontId="31" fillId="0" borderId="57" xfId="106" applyNumberFormat="1" applyFont="1" applyBorder="1" applyAlignment="1">
      <alignment vertical="center"/>
    </xf>
    <xf numFmtId="3" fontId="31" fillId="0" borderId="117" xfId="106" applyNumberFormat="1" applyFont="1" applyBorder="1" applyAlignment="1">
      <alignment vertical="center"/>
    </xf>
    <xf numFmtId="37" fontId="38" fillId="0" borderId="70" xfId="0" applyFont="1" applyBorder="1" applyAlignment="1">
      <alignment horizontal="center" vertical="center"/>
    </xf>
    <xf numFmtId="183" fontId="44" fillId="0" borderId="71" xfId="0" applyNumberFormat="1" applyFont="1" applyBorder="1" applyAlignment="1">
      <alignment horizontal="center" vertical="center"/>
    </xf>
    <xf numFmtId="9" fontId="29" fillId="0" borderId="118" xfId="86" applyFont="1" applyBorder="1" applyAlignment="1">
      <alignment horizontal="center" vertical="center"/>
    </xf>
    <xf numFmtId="178" fontId="29" fillId="0" borderId="118" xfId="0" applyNumberFormat="1" applyFont="1" applyBorder="1" applyAlignment="1">
      <alignment horizontal="center" vertical="center"/>
    </xf>
    <xf numFmtId="178" fontId="29" fillId="0" borderId="118" xfId="77" applyNumberFormat="1" applyFont="1" applyBorder="1" applyAlignment="1">
      <alignment horizontal="center" vertical="center"/>
    </xf>
    <xf numFmtId="37" fontId="38" fillId="0" borderId="0" xfId="0" applyFont="1" applyAlignment="1">
      <alignment horizontal="center" vertical="center"/>
    </xf>
    <xf numFmtId="37" fontId="37" fillId="51" borderId="119" xfId="0" applyFont="1" applyFill="1" applyBorder="1" applyAlignment="1">
      <alignment horizontal="center" vertical="center" wrapText="1"/>
    </xf>
    <xf numFmtId="37" fontId="37" fillId="51" borderId="120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19" xfId="0" applyFont="1" applyFill="1" applyBorder="1" applyAlignment="1">
      <alignment horizontal="center" vertical="center" wrapText="1"/>
    </xf>
    <xf numFmtId="37" fontId="33" fillId="51" borderId="120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21" xfId="0" applyFont="1" applyFill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38" fillId="54" borderId="122" xfId="0" applyFont="1" applyFill="1" applyBorder="1" applyAlignment="1">
      <alignment horizontal="center" vertical="center"/>
    </xf>
    <xf numFmtId="37" fontId="38" fillId="54" borderId="123" xfId="0" applyFont="1" applyFill="1" applyBorder="1" applyAlignment="1">
      <alignment horizontal="center" vertical="center"/>
    </xf>
    <xf numFmtId="37" fontId="38" fillId="54" borderId="124" xfId="0" applyFont="1" applyFill="1" applyBorder="1" applyAlignment="1">
      <alignment horizontal="center" vertical="center"/>
    </xf>
    <xf numFmtId="37" fontId="31" fillId="54" borderId="119" xfId="0" applyFont="1" applyFill="1" applyBorder="1" applyAlignment="1">
      <alignment horizontal="center" vertical="center"/>
    </xf>
    <xf numFmtId="37" fontId="31" fillId="54" borderId="125" xfId="0" applyFont="1" applyFill="1" applyBorder="1" applyAlignment="1">
      <alignment horizontal="center" vertical="center"/>
    </xf>
    <xf numFmtId="37" fontId="31" fillId="54" borderId="120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37" fontId="30" fillId="0" borderId="126" xfId="0" applyFont="1" applyBorder="1" applyAlignment="1">
      <alignment horizontal="left" vertical="center"/>
    </xf>
    <xf numFmtId="37" fontId="30" fillId="0" borderId="127" xfId="0" applyFont="1" applyBorder="1" applyAlignment="1">
      <alignment horizontal="left" vertical="center"/>
    </xf>
    <xf numFmtId="37" fontId="0" fillId="0" borderId="125" xfId="0" applyBorder="1" applyAlignment="1">
      <alignment horizont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28" xfId="0" applyFont="1" applyBorder="1" applyAlignment="1">
      <alignment horizontal="left" vertical="center"/>
    </xf>
    <xf numFmtId="37" fontId="30" fillId="0" borderId="129" xfId="0" applyFont="1" applyBorder="1" applyAlignment="1">
      <alignment horizontal="left" vertical="center"/>
    </xf>
    <xf numFmtId="37" fontId="0" fillId="0" borderId="123" xfId="0" applyBorder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19" xfId="0" applyFont="1" applyFill="1" applyBorder="1" applyAlignment="1">
      <alignment horizontal="center" vertical="center"/>
    </xf>
    <xf numFmtId="37" fontId="11" fillId="51" borderId="125" xfId="0" applyFont="1" applyFill="1" applyBorder="1" applyAlignment="1">
      <alignment horizontal="center" vertical="center"/>
    </xf>
    <xf numFmtId="37" fontId="11" fillId="51" borderId="120" xfId="0" applyFont="1" applyFill="1" applyBorder="1" applyAlignment="1">
      <alignment horizontal="center" vertical="center"/>
    </xf>
    <xf numFmtId="165" fontId="30" fillId="0" borderId="130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37" fontId="30" fillId="13" borderId="119" xfId="82" applyFont="1" applyFill="1" applyBorder="1" applyAlignment="1">
      <alignment horizontal="center" vertical="center"/>
      <protection/>
    </xf>
    <xf numFmtId="37" fontId="30" fillId="13" borderId="120" xfId="82" applyFont="1" applyFill="1" applyBorder="1" applyAlignment="1">
      <alignment horizontal="center" vertical="center"/>
      <protection/>
    </xf>
    <xf numFmtId="165" fontId="30" fillId="0" borderId="131" xfId="106" applyFont="1" applyBorder="1" applyAlignment="1">
      <alignment horizontal="left" vertical="center"/>
    </xf>
    <xf numFmtId="165" fontId="30" fillId="0" borderId="132" xfId="106" applyFont="1" applyBorder="1" applyAlignment="1">
      <alignment horizontal="left" vertical="center"/>
    </xf>
    <xf numFmtId="37" fontId="7" fillId="0" borderId="0" xfId="0" applyFont="1" applyAlignment="1">
      <alignment horizontal="center" vertical="center" wrapText="1"/>
    </xf>
    <xf numFmtId="37" fontId="38" fillId="51" borderId="133" xfId="0" applyFont="1" applyFill="1" applyBorder="1" applyAlignment="1">
      <alignment horizontal="center" vertical="center"/>
    </xf>
    <xf numFmtId="37" fontId="38" fillId="51" borderId="134" xfId="0" applyFont="1" applyFill="1" applyBorder="1" applyAlignment="1">
      <alignment horizontal="center" vertical="center"/>
    </xf>
    <xf numFmtId="37" fontId="38" fillId="19" borderId="133" xfId="0" applyFont="1" applyFill="1" applyBorder="1" applyAlignment="1">
      <alignment horizontal="center" vertical="center"/>
    </xf>
    <xf numFmtId="37" fontId="38" fillId="19" borderId="134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35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165" fontId="30" fillId="0" borderId="0" xfId="106" applyFont="1" applyAlignment="1">
      <alignment horizontal="left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165" fontId="30" fillId="0" borderId="85" xfId="106" applyFont="1" applyBorder="1" applyAlignment="1">
      <alignment horizontal="left" vertical="center"/>
    </xf>
    <xf numFmtId="165" fontId="30" fillId="0" borderId="136" xfId="106" applyFont="1" applyBorder="1" applyAlignment="1">
      <alignment horizontal="left" vertical="center"/>
    </xf>
    <xf numFmtId="37" fontId="30" fillId="51" borderId="137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83" fillId="0" borderId="138" xfId="0" applyFont="1" applyBorder="1" applyAlignment="1">
      <alignment horizontal="center" vertical="center"/>
    </xf>
    <xf numFmtId="37" fontId="83" fillId="0" borderId="139" xfId="0" applyFont="1" applyBorder="1" applyAlignment="1">
      <alignment horizontal="center" vertical="center"/>
    </xf>
    <xf numFmtId="37" fontId="83" fillId="0" borderId="42" xfId="0" applyFont="1" applyBorder="1" applyAlignment="1">
      <alignment horizontal="center" vertical="center"/>
    </xf>
    <xf numFmtId="37" fontId="83" fillId="0" borderId="45" xfId="0" applyFont="1" applyBorder="1" applyAlignment="1">
      <alignment horizontal="center" vertical="center"/>
    </xf>
    <xf numFmtId="37" fontId="83" fillId="0" borderId="136" xfId="0" applyFont="1" applyBorder="1" applyAlignment="1">
      <alignment horizontal="center" vertical="center"/>
    </xf>
    <xf numFmtId="37" fontId="83" fillId="0" borderId="140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" fontId="31" fillId="0" borderId="138" xfId="106" applyNumberFormat="1" applyFont="1" applyBorder="1" applyAlignment="1">
      <alignment horizontal="right" vertical="center" indent="1"/>
    </xf>
    <xf numFmtId="37" fontId="9" fillId="0" borderId="0" xfId="0" applyFont="1" applyAlignment="1">
      <alignment horizontal="center"/>
    </xf>
    <xf numFmtId="37" fontId="38" fillId="6" borderId="141" xfId="0" applyFont="1" applyFill="1" applyBorder="1" applyAlignment="1">
      <alignment horizontal="center" vertical="center"/>
    </xf>
    <xf numFmtId="37" fontId="38" fillId="6" borderId="142" xfId="0" applyFont="1" applyFill="1" applyBorder="1" applyAlignment="1">
      <alignment horizontal="center" vertical="center"/>
    </xf>
    <xf numFmtId="37" fontId="38" fillId="6" borderId="143" xfId="0" applyFont="1" applyFill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42" fillId="0" borderId="0" xfId="0" applyFont="1" applyAlignment="1">
      <alignment horizontal="center" vertical="center"/>
    </xf>
    <xf numFmtId="37" fontId="38" fillId="6" borderId="144" xfId="0" applyFont="1" applyFill="1" applyBorder="1" applyAlignment="1">
      <alignment horizontal="center" vertical="center"/>
    </xf>
    <xf numFmtId="37" fontId="38" fillId="6" borderId="145" xfId="0" applyFont="1" applyFill="1" applyBorder="1" applyAlignment="1">
      <alignment horizontal="center" vertical="center"/>
    </xf>
    <xf numFmtId="3" fontId="31" fillId="0" borderId="138" xfId="106" applyNumberFormat="1" applyFont="1" applyBorder="1" applyAlignment="1">
      <alignment horizontal="right" vertical="center"/>
    </xf>
    <xf numFmtId="3" fontId="31" fillId="0" borderId="140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11" fillId="30" borderId="146" xfId="0" applyFont="1" applyFill="1" applyBorder="1" applyAlignment="1">
      <alignment vertical="center"/>
    </xf>
    <xf numFmtId="37" fontId="11" fillId="30" borderId="128" xfId="0" applyFont="1" applyFill="1" applyBorder="1" applyAlignment="1">
      <alignment vertical="center"/>
    </xf>
    <xf numFmtId="37" fontId="11" fillId="30" borderId="129" xfId="0" applyFont="1" applyFill="1" applyBorder="1" applyAlignment="1">
      <alignment vertical="center"/>
    </xf>
    <xf numFmtId="37" fontId="31" fillId="6" borderId="147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48" xfId="0" applyFont="1" applyFill="1" applyBorder="1" applyAlignment="1">
      <alignment horizontal="center"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83" fillId="0" borderId="45" xfId="106" applyNumberFormat="1" applyFont="1" applyBorder="1" applyAlignment="1">
      <alignment horizontal="center" vertical="center" shrinkToFit="1"/>
    </xf>
    <xf numFmtId="3" fontId="83" fillId="0" borderId="139" xfId="106" applyNumberFormat="1" applyFont="1" applyBorder="1" applyAlignment="1">
      <alignment horizontal="center" vertical="center" shrinkToFit="1"/>
    </xf>
    <xf numFmtId="3" fontId="83" fillId="0" borderId="136" xfId="106" applyNumberFormat="1" applyFont="1" applyBorder="1" applyAlignment="1">
      <alignment horizontal="center" vertical="center" shrinkToFit="1"/>
    </xf>
    <xf numFmtId="9" fontId="31" fillId="0" borderId="138" xfId="86" applyFont="1" applyBorder="1" applyAlignment="1">
      <alignment horizontal="center" vertical="center"/>
    </xf>
    <xf numFmtId="9" fontId="31" fillId="0" borderId="140" xfId="86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89" xfId="0" applyFont="1" applyFill="1" applyBorder="1" applyAlignment="1">
      <alignment horizontal="center" vertical="center"/>
    </xf>
    <xf numFmtId="37" fontId="31" fillId="15" borderId="149" xfId="0" applyFont="1" applyFill="1" applyBorder="1" applyAlignment="1">
      <alignment vertical="center"/>
    </xf>
    <xf numFmtId="37" fontId="31" fillId="6" borderId="56" xfId="0" applyFont="1" applyFill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17" xfId="0" applyNumberFormat="1" applyFont="1" applyFill="1" applyBorder="1" applyAlignment="1">
      <alignment horizontal="center" vertical="center"/>
    </xf>
    <xf numFmtId="3" fontId="83" fillId="0" borderId="42" xfId="106" applyNumberFormat="1" applyFont="1" applyBorder="1" applyAlignment="1">
      <alignment horizontal="center" vertical="center" shrinkToFit="1"/>
    </xf>
    <xf numFmtId="3" fontId="83" fillId="0" borderId="21" xfId="106" applyNumberFormat="1" applyFont="1" applyBorder="1" applyAlignment="1">
      <alignment horizontal="center" vertical="center" shrinkToFit="1"/>
    </xf>
    <xf numFmtId="170" fontId="34" fillId="6" borderId="146" xfId="0" applyNumberFormat="1" applyFont="1" applyFill="1" applyBorder="1" applyAlignment="1">
      <alignment horizontal="center" vertical="center"/>
    </xf>
    <xf numFmtId="170" fontId="34" fillId="6" borderId="128" xfId="0" applyNumberFormat="1" applyFont="1" applyFill="1" applyBorder="1" applyAlignment="1">
      <alignment horizontal="center" vertical="center"/>
    </xf>
    <xf numFmtId="170" fontId="34" fillId="6" borderId="129" xfId="0" applyNumberFormat="1" applyFont="1" applyFill="1" applyBorder="1" applyAlignment="1">
      <alignment horizontal="center" vertical="center"/>
    </xf>
    <xf numFmtId="168" fontId="39" fillId="6" borderId="146" xfId="0" applyNumberFormat="1" applyFont="1" applyFill="1" applyBorder="1" applyAlignment="1">
      <alignment horizontal="center" vertical="center"/>
    </xf>
    <xf numFmtId="168" fontId="39" fillId="6" borderId="150" xfId="0" applyNumberFormat="1" applyFont="1" applyFill="1" applyBorder="1" applyAlignment="1">
      <alignment horizontal="center" vertical="center"/>
    </xf>
    <xf numFmtId="207" fontId="7" fillId="54" borderId="73" xfId="0" applyNumberFormat="1" applyFont="1" applyFill="1" applyBorder="1" applyAlignment="1">
      <alignment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red\Downloads\Planilha-2022-versao-2-analis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2">
        <row r="17">
          <cell r="T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PageLayoutView="0" workbookViewId="0" topLeftCell="A1">
      <selection activeCell="R28" sqref="R28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423" t="s">
        <v>156</v>
      </c>
      <c r="C2" s="424"/>
      <c r="D2" s="424"/>
      <c r="E2" s="424"/>
      <c r="F2" s="424"/>
      <c r="G2" s="424"/>
      <c r="H2" s="424"/>
      <c r="I2" s="425"/>
      <c r="K2" s="420" t="s">
        <v>157</v>
      </c>
      <c r="L2" s="421"/>
      <c r="M2" s="421"/>
      <c r="N2" s="421"/>
      <c r="O2" s="421"/>
      <c r="P2" s="421"/>
      <c r="Q2" s="422"/>
    </row>
    <row r="3" spans="2:17" ht="13.5" customHeight="1" thickBot="1">
      <c r="B3" s="214"/>
      <c r="C3" s="190"/>
      <c r="D3" s="429"/>
      <c r="E3" s="429"/>
      <c r="F3" s="430"/>
      <c r="G3" s="429"/>
      <c r="H3" s="429"/>
      <c r="I3" s="434"/>
      <c r="J3" s="150"/>
      <c r="K3" s="36"/>
      <c r="Q3" s="37"/>
    </row>
    <row r="4" spans="2:21" ht="13.5" customHeight="1" thickBot="1">
      <c r="B4" s="427">
        <v>45261</v>
      </c>
      <c r="C4" s="428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5" t="s">
        <v>26</v>
      </c>
      <c r="J4" s="151"/>
      <c r="K4" s="36"/>
      <c r="L4" s="418" t="s">
        <v>46</v>
      </c>
      <c r="M4" s="419"/>
      <c r="N4" s="325"/>
      <c r="O4" s="418" t="s">
        <v>47</v>
      </c>
      <c r="P4" s="419"/>
      <c r="Q4" s="37"/>
      <c r="S4" s="193"/>
      <c r="T4" s="193"/>
      <c r="U4" s="193"/>
    </row>
    <row r="5" spans="2:21" s="7" customFormat="1" ht="13.5" customHeight="1">
      <c r="B5" s="315" t="s">
        <v>29</v>
      </c>
      <c r="C5" s="313">
        <v>20</v>
      </c>
      <c r="D5" s="346">
        <v>3944.373</v>
      </c>
      <c r="E5" s="345">
        <v>29916.623</v>
      </c>
      <c r="F5" s="308">
        <v>3059.928</v>
      </c>
      <c r="G5" s="296">
        <f aca="true" t="shared" si="0" ref="G5:I7">D5*$C5</f>
        <v>78887.46</v>
      </c>
      <c r="H5" s="296">
        <f t="shared" si="0"/>
        <v>598332.46</v>
      </c>
      <c r="I5" s="297">
        <f t="shared" si="0"/>
        <v>61198.56</v>
      </c>
      <c r="J5" s="152"/>
      <c r="K5" s="36"/>
      <c r="L5" s="318" t="s">
        <v>13</v>
      </c>
      <c r="M5" s="333">
        <v>2171.39</v>
      </c>
      <c r="N5" s="319"/>
      <c r="O5" s="330" t="s">
        <v>13</v>
      </c>
      <c r="P5" s="341">
        <v>2043.57</v>
      </c>
      <c r="Q5" s="37"/>
      <c r="S5" s="194"/>
      <c r="T5" s="194"/>
      <c r="U5" s="194"/>
    </row>
    <row r="6" spans="2:21" ht="13.5" customHeight="1">
      <c r="B6" s="316" t="s">
        <v>30</v>
      </c>
      <c r="C6" s="314">
        <v>5</v>
      </c>
      <c r="D6" s="309">
        <v>8050.12</v>
      </c>
      <c r="E6" s="309">
        <v>16321.134</v>
      </c>
      <c r="F6" s="310">
        <v>2232.998</v>
      </c>
      <c r="G6" s="298">
        <f t="shared" si="0"/>
        <v>40250.6</v>
      </c>
      <c r="H6" s="298">
        <f t="shared" si="0"/>
        <v>81605.67</v>
      </c>
      <c r="I6" s="299">
        <f t="shared" si="0"/>
        <v>11164.99</v>
      </c>
      <c r="J6" s="151"/>
      <c r="K6" s="36"/>
      <c r="L6" s="320" t="s">
        <v>14</v>
      </c>
      <c r="M6" s="333">
        <v>1523.31</v>
      </c>
      <c r="N6" s="319"/>
      <c r="O6" s="331" t="s">
        <v>14</v>
      </c>
      <c r="P6" s="342">
        <v>1182.46</v>
      </c>
      <c r="Q6" s="37"/>
      <c r="S6" s="193"/>
      <c r="T6" s="193"/>
      <c r="U6" s="193"/>
    </row>
    <row r="7" spans="2:21" ht="13.5" customHeight="1">
      <c r="B7" s="317" t="s">
        <v>31</v>
      </c>
      <c r="C7" s="306">
        <v>6</v>
      </c>
      <c r="D7" s="311">
        <v>9907.469</v>
      </c>
      <c r="E7" s="311">
        <v>4791.866</v>
      </c>
      <c r="F7" s="312">
        <v>347.645</v>
      </c>
      <c r="G7" s="300">
        <f t="shared" si="0"/>
        <v>59444.814</v>
      </c>
      <c r="H7" s="300">
        <f t="shared" si="0"/>
        <v>28751.196</v>
      </c>
      <c r="I7" s="301">
        <f t="shared" si="0"/>
        <v>2085.87</v>
      </c>
      <c r="J7" s="151"/>
      <c r="K7" s="36"/>
      <c r="L7" s="321" t="s">
        <v>15</v>
      </c>
      <c r="M7" s="333">
        <v>826.48</v>
      </c>
      <c r="N7" s="319"/>
      <c r="O7" s="331" t="s">
        <v>15</v>
      </c>
      <c r="P7" s="342">
        <v>423.21</v>
      </c>
      <c r="Q7" s="37"/>
      <c r="S7" s="193"/>
      <c r="T7" s="193"/>
      <c r="U7" s="193"/>
    </row>
    <row r="8" spans="2:21" ht="13.5" customHeight="1">
      <c r="B8" s="317" t="s">
        <v>121</v>
      </c>
      <c r="C8" s="306">
        <f>SUM(C5:C7)</f>
        <v>31</v>
      </c>
      <c r="D8" s="307" t="s">
        <v>106</v>
      </c>
      <c r="E8" s="435" t="s">
        <v>22</v>
      </c>
      <c r="F8" s="436"/>
      <c r="G8" s="302">
        <f>SUM(G5:G7)</f>
        <v>178582.874</v>
      </c>
      <c r="H8" s="302">
        <f>SUM(H5:H7)</f>
        <v>708689.326</v>
      </c>
      <c r="I8" s="303">
        <f>SUM(I5:I7)</f>
        <v>74449.42</v>
      </c>
      <c r="J8" s="151"/>
      <c r="K8" s="36"/>
      <c r="L8" s="322" t="s">
        <v>16</v>
      </c>
      <c r="M8" s="334">
        <f>M5/6</f>
        <v>361.8983333333333</v>
      </c>
      <c r="N8" s="261"/>
      <c r="O8" s="332" t="s">
        <v>16</v>
      </c>
      <c r="P8" s="343">
        <f>P5/6</f>
        <v>340.59499999999997</v>
      </c>
      <c r="Q8" s="37"/>
      <c r="S8" s="193"/>
      <c r="T8" s="193"/>
      <c r="U8" s="193"/>
    </row>
    <row r="9" spans="2:22" ht="13.5" customHeight="1" thickBot="1">
      <c r="B9" s="214"/>
      <c r="C9" s="282" t="s">
        <v>139</v>
      </c>
      <c r="D9" s="216"/>
      <c r="E9" s="431" t="s">
        <v>23</v>
      </c>
      <c r="F9" s="432"/>
      <c r="G9" s="304">
        <f>G8</f>
        <v>178582.874</v>
      </c>
      <c r="H9" s="304">
        <f>H8</f>
        <v>708689.326</v>
      </c>
      <c r="I9" s="305">
        <f>I8</f>
        <v>74449.42</v>
      </c>
      <c r="J9" s="151"/>
      <c r="K9" s="36"/>
      <c r="L9" s="320" t="s">
        <v>17</v>
      </c>
      <c r="M9" s="335">
        <f>M6/6</f>
        <v>253.885</v>
      </c>
      <c r="N9" s="261"/>
      <c r="O9" s="320" t="s">
        <v>17</v>
      </c>
      <c r="P9" s="335">
        <f>P6/6</f>
        <v>197.07666666666668</v>
      </c>
      <c r="Q9" s="37"/>
      <c r="T9" s="193"/>
      <c r="U9" s="193"/>
      <c r="V9" s="193"/>
    </row>
    <row r="10" spans="2:22" ht="13.5" customHeight="1" thickBot="1">
      <c r="B10" s="217"/>
      <c r="C10" s="218"/>
      <c r="D10" s="218"/>
      <c r="E10" s="416" t="s">
        <v>34</v>
      </c>
      <c r="F10" s="417"/>
      <c r="G10" s="294"/>
      <c r="H10" s="294"/>
      <c r="I10" s="295">
        <f>SUM(G9:I9)</f>
        <v>961721.62</v>
      </c>
      <c r="J10" s="189"/>
      <c r="K10" s="36"/>
      <c r="L10" s="321" t="s">
        <v>18</v>
      </c>
      <c r="M10" s="336">
        <f>M7/6</f>
        <v>137.74666666666667</v>
      </c>
      <c r="N10" s="261"/>
      <c r="O10" s="321" t="s">
        <v>18</v>
      </c>
      <c r="P10" s="344">
        <f>P7/6</f>
        <v>70.535</v>
      </c>
      <c r="Q10" s="37"/>
      <c r="T10" s="193"/>
      <c r="U10" s="195"/>
      <c r="V10" s="193"/>
    </row>
    <row r="11" spans="2:22" ht="13.5" thickBot="1">
      <c r="B11" s="426" t="s">
        <v>106</v>
      </c>
      <c r="C11" s="426"/>
      <c r="D11" s="9"/>
      <c r="E11" s="9"/>
      <c r="F11" s="170"/>
      <c r="G11" s="433"/>
      <c r="H11" s="433"/>
      <c r="K11" s="36"/>
      <c r="L11" s="323" t="s">
        <v>49</v>
      </c>
      <c r="M11" s="337">
        <f>C7</f>
        <v>6</v>
      </c>
      <c r="N11" s="261"/>
      <c r="O11" s="323" t="s">
        <v>49</v>
      </c>
      <c r="P11" s="337">
        <f>C7</f>
        <v>6</v>
      </c>
      <c r="Q11" s="37"/>
      <c r="T11" s="193"/>
      <c r="U11" s="195"/>
      <c r="V11" s="193"/>
    </row>
    <row r="12" spans="2:22" ht="12.75">
      <c r="B12" s="414" t="s">
        <v>143</v>
      </c>
      <c r="C12" s="415"/>
      <c r="D12" s="179"/>
      <c r="E12" s="410" t="s">
        <v>131</v>
      </c>
      <c r="F12" s="411"/>
      <c r="K12" s="36"/>
      <c r="L12" s="322" t="s">
        <v>19</v>
      </c>
      <c r="M12" s="338">
        <f>((M8*$C$5)+(M9*$C$6)+(M10*$C$7))/($C$8-$C$7)</f>
        <v>373.3548666666666</v>
      </c>
      <c r="N12" s="261"/>
      <c r="O12" s="322" t="s">
        <v>19</v>
      </c>
      <c r="P12" s="338">
        <f>((P8*$C$5)+(P9*$C$6)+(P10*$C$7))/($C$8-$C$7)</f>
        <v>328.81973333333326</v>
      </c>
      <c r="Q12" s="37"/>
      <c r="T12" s="193"/>
      <c r="U12" s="195"/>
      <c r="V12" s="193"/>
    </row>
    <row r="13" spans="2:22" ht="13.5" customHeight="1" thickBot="1">
      <c r="B13" s="210" t="s">
        <v>45</v>
      </c>
      <c r="C13" s="211" t="s">
        <v>155</v>
      </c>
      <c r="D13" s="180"/>
      <c r="E13" s="412"/>
      <c r="F13" s="413"/>
      <c r="J13" s="281"/>
      <c r="K13" s="36"/>
      <c r="L13" s="324" t="s">
        <v>51</v>
      </c>
      <c r="M13" s="339">
        <f>M12*0.0909</f>
        <v>33.93795737999999</v>
      </c>
      <c r="N13" s="261"/>
      <c r="O13" s="324" t="s">
        <v>51</v>
      </c>
      <c r="P13" s="339">
        <f>P12*0.0909</f>
        <v>29.889713759999992</v>
      </c>
      <c r="Q13" s="37"/>
      <c r="T13" s="193"/>
      <c r="U13" s="193"/>
      <c r="V13" s="193"/>
    </row>
    <row r="14" spans="2:22" ht="13.5" customHeight="1" thickBot="1">
      <c r="B14" s="212" t="s">
        <v>35</v>
      </c>
      <c r="C14" s="213">
        <v>1770662</v>
      </c>
      <c r="D14" s="186"/>
      <c r="E14" s="219">
        <v>1106</v>
      </c>
      <c r="F14" s="220"/>
      <c r="K14" s="36"/>
      <c r="L14" s="324" t="s">
        <v>20</v>
      </c>
      <c r="M14" s="339">
        <f>SUM(M12:M13)</f>
        <v>407.2928240466666</v>
      </c>
      <c r="N14" s="261"/>
      <c r="O14" s="324" t="s">
        <v>20</v>
      </c>
      <c r="P14" s="339">
        <f>SUM(P12:P13)</f>
        <v>358.70944709333327</v>
      </c>
      <c r="Q14" s="37"/>
      <c r="T14" s="193"/>
      <c r="U14" s="193"/>
      <c r="V14" s="193"/>
    </row>
    <row r="15" spans="3:17" ht="13.5" customHeight="1">
      <c r="C15" s="190"/>
      <c r="D15" s="181"/>
      <c r="K15" s="36"/>
      <c r="L15" s="324" t="s">
        <v>52</v>
      </c>
      <c r="M15" s="339">
        <f>M14*10%</f>
        <v>40.72928240466666</v>
      </c>
      <c r="N15" s="261"/>
      <c r="O15" s="324" t="s">
        <v>52</v>
      </c>
      <c r="P15" s="339">
        <f>P14/10</f>
        <v>35.87094470933333</v>
      </c>
      <c r="Q15" s="37"/>
    </row>
    <row r="16" spans="3:17" ht="13.5" customHeight="1">
      <c r="C16" s="190"/>
      <c r="K16" s="36"/>
      <c r="L16" s="320" t="s">
        <v>50</v>
      </c>
      <c r="M16" s="339">
        <f>SUM(M14:M15)</f>
        <v>448.0221064513333</v>
      </c>
      <c r="N16" s="261"/>
      <c r="O16" s="320" t="s">
        <v>50</v>
      </c>
      <c r="P16" s="339">
        <f>SUM(P14:P15)</f>
        <v>394.5803918026666</v>
      </c>
      <c r="Q16" s="37"/>
    </row>
    <row r="17" spans="3:17" ht="13.5" customHeight="1">
      <c r="C17" s="190"/>
      <c r="K17" s="36"/>
      <c r="L17" s="324" t="s">
        <v>53</v>
      </c>
      <c r="M17" s="339">
        <f>M16*5%</f>
        <v>22.401105322566664</v>
      </c>
      <c r="N17" s="261"/>
      <c r="O17" s="324" t="s">
        <v>53</v>
      </c>
      <c r="P17" s="339">
        <f>P16/20</f>
        <v>19.72901959013333</v>
      </c>
      <c r="Q17" s="37"/>
    </row>
    <row r="18" spans="3:17" ht="13.5" customHeight="1">
      <c r="C18" s="190"/>
      <c r="D18" s="190"/>
      <c r="E18" s="191"/>
      <c r="K18" s="36"/>
      <c r="L18" s="320" t="s">
        <v>21</v>
      </c>
      <c r="M18" s="339">
        <f>SUM(M16:M17)</f>
        <v>470.42321177389994</v>
      </c>
      <c r="N18" s="261"/>
      <c r="O18" s="320" t="s">
        <v>21</v>
      </c>
      <c r="P18" s="339">
        <f>SUM(P16:P17)</f>
        <v>414.3094113927999</v>
      </c>
      <c r="Q18" s="37"/>
    </row>
    <row r="19" spans="3:17" ht="13.5" customHeight="1" thickBot="1">
      <c r="C19" s="190"/>
      <c r="D19" s="190"/>
      <c r="E19" s="190"/>
      <c r="J19" s="203"/>
      <c r="K19" s="36"/>
      <c r="L19" s="327" t="s">
        <v>1</v>
      </c>
      <c r="M19" s="340">
        <v>151</v>
      </c>
      <c r="N19" s="261"/>
      <c r="O19" s="327" t="s">
        <v>1</v>
      </c>
      <c r="P19" s="340">
        <v>130</v>
      </c>
      <c r="Q19" s="37"/>
    </row>
    <row r="20" spans="3:17" ht="13.5" customHeight="1" thickBot="1">
      <c r="C20" s="190"/>
      <c r="D20" s="190"/>
      <c r="E20" s="190"/>
      <c r="J20" s="203"/>
      <c r="K20" s="36"/>
      <c r="L20" s="328" t="s">
        <v>48</v>
      </c>
      <c r="M20" s="329">
        <f>M18/M19</f>
        <v>3.1153855084364235</v>
      </c>
      <c r="N20" s="326"/>
      <c r="O20" s="328" t="s">
        <v>48</v>
      </c>
      <c r="P20" s="329">
        <f>(P18/P19)-0.0001</f>
        <v>3.186895472252307</v>
      </c>
      <c r="Q20" s="37"/>
    </row>
    <row r="21" spans="3:17" ht="13.5" customHeight="1">
      <c r="C21" s="190"/>
      <c r="D21" s="190"/>
      <c r="E21" s="190"/>
      <c r="K21" s="38"/>
      <c r="L21" s="39"/>
      <c r="M21" s="39"/>
      <c r="N21" s="39"/>
      <c r="O21" s="39"/>
      <c r="P21" s="39"/>
      <c r="Q21" s="40"/>
    </row>
    <row r="22" spans="4:16" ht="13.5" customHeight="1">
      <c r="D22" s="190"/>
      <c r="E22" s="190"/>
      <c r="L22" s="437" t="s">
        <v>139</v>
      </c>
      <c r="M22" s="437"/>
      <c r="N22" s="437"/>
      <c r="O22" s="437"/>
      <c r="P22" s="437"/>
    </row>
    <row r="23" ht="13.5" customHeight="1">
      <c r="D23" s="190"/>
    </row>
    <row r="24" ht="13.5" customHeight="1">
      <c r="D24" s="190"/>
    </row>
    <row r="25" spans="7:13" ht="13.5" customHeight="1">
      <c r="G25" s="409"/>
      <c r="H25" s="409"/>
      <c r="I25" s="409"/>
      <c r="J25" s="409"/>
      <c r="K25" s="409"/>
      <c r="L25" s="409"/>
      <c r="M25" s="409"/>
    </row>
    <row r="27" spans="9:13" ht="12">
      <c r="I27" s="185"/>
      <c r="J27" s="35"/>
      <c r="K27" s="184"/>
      <c r="L27" s="185"/>
      <c r="M27" s="188"/>
    </row>
    <row r="34" spans="7:8" ht="12">
      <c r="G34" s="203"/>
      <c r="H34" s="203"/>
    </row>
    <row r="35" spans="7:8" ht="12">
      <c r="G35" s="203"/>
      <c r="H35" s="203"/>
    </row>
    <row r="47" ht="12">
      <c r="M47" s="133"/>
    </row>
  </sheetData>
  <sheetProtection/>
  <mergeCells count="16">
    <mergeCell ref="E9:F9"/>
    <mergeCell ref="G11:H11"/>
    <mergeCell ref="G3:I3"/>
    <mergeCell ref="E8:F8"/>
    <mergeCell ref="O4:P4"/>
    <mergeCell ref="L22:P22"/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="115" zoomScaleNormal="115" zoomScalePageLayoutView="0" workbookViewId="0" topLeftCell="D1">
      <selection activeCell="N8" sqref="N8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40" t="s">
        <v>141</v>
      </c>
      <c r="C2" s="441"/>
      <c r="D2" s="441"/>
      <c r="E2" s="441"/>
      <c r="F2" s="441"/>
      <c r="G2" s="441"/>
      <c r="H2" s="442"/>
      <c r="I2" s="8"/>
      <c r="J2" s="12"/>
    </row>
    <row r="3" spans="2:16" s="2" customFormat="1" ht="13.5" customHeight="1">
      <c r="B3" s="461"/>
      <c r="C3" s="462"/>
      <c r="D3" s="14" t="s">
        <v>36</v>
      </c>
      <c r="E3" s="15" t="s">
        <v>129</v>
      </c>
      <c r="F3" s="15" t="s">
        <v>37</v>
      </c>
      <c r="G3" s="15" t="s">
        <v>38</v>
      </c>
      <c r="H3" s="284" t="s">
        <v>39</v>
      </c>
      <c r="I3" s="138"/>
      <c r="J3" s="450" t="s">
        <v>137</v>
      </c>
      <c r="K3" s="451"/>
      <c r="M3" s="155"/>
      <c r="N3" s="155"/>
      <c r="O3" s="155"/>
      <c r="P3" s="155"/>
    </row>
    <row r="4" spans="2:16" s="2" customFormat="1" ht="13.5" customHeight="1">
      <c r="B4" s="463" t="s">
        <v>32</v>
      </c>
      <c r="C4" s="464"/>
      <c r="D4" s="288">
        <v>300000</v>
      </c>
      <c r="E4" s="291">
        <v>334000</v>
      </c>
      <c r="F4" s="13">
        <f>SUM(D4:E4)</f>
        <v>634000</v>
      </c>
      <c r="G4" s="13">
        <f>6*K17</f>
        <v>11549.82</v>
      </c>
      <c r="H4" s="285">
        <f>F4-G4</f>
        <v>622450.18</v>
      </c>
      <c r="I4" s="443" t="s">
        <v>139</v>
      </c>
      <c r="J4" s="267" t="s">
        <v>86</v>
      </c>
      <c r="K4" s="268">
        <v>2482.97</v>
      </c>
      <c r="L4" s="154" t="s">
        <v>106</v>
      </c>
      <c r="M4" s="444"/>
      <c r="N4" s="444"/>
      <c r="O4" s="157"/>
      <c r="P4" s="155"/>
    </row>
    <row r="5" spans="2:12" s="2" customFormat="1" ht="13.5" customHeight="1">
      <c r="B5" s="463" t="s">
        <v>40</v>
      </c>
      <c r="C5" s="464"/>
      <c r="D5" s="289">
        <v>340000</v>
      </c>
      <c r="E5" s="292">
        <v>367000</v>
      </c>
      <c r="F5" s="13">
        <f>SUM(D5:E5)</f>
        <v>707000</v>
      </c>
      <c r="G5" s="13">
        <f>6*K17</f>
        <v>11549.82</v>
      </c>
      <c r="H5" s="285">
        <f>F5-G5</f>
        <v>695450.18</v>
      </c>
      <c r="I5" s="443"/>
      <c r="J5" s="267" t="s">
        <v>86</v>
      </c>
      <c r="K5" s="268">
        <v>2482.97</v>
      </c>
      <c r="L5" s="157"/>
    </row>
    <row r="6" spans="2:12" s="2" customFormat="1" ht="13.5" customHeight="1" thickBot="1">
      <c r="B6" s="447" t="s">
        <v>26</v>
      </c>
      <c r="C6" s="448"/>
      <c r="D6" s="290">
        <v>812000</v>
      </c>
      <c r="E6" s="293">
        <v>748000</v>
      </c>
      <c r="F6" s="286">
        <f>SUM(D6:E6)</f>
        <v>1560000</v>
      </c>
      <c r="G6" s="286">
        <f>10*K18</f>
        <v>21224.1</v>
      </c>
      <c r="H6" s="287">
        <f>F6-G6</f>
        <v>1538775.9</v>
      </c>
      <c r="I6" s="443"/>
      <c r="J6" s="269" t="s">
        <v>47</v>
      </c>
      <c r="K6" s="268">
        <v>1487.39</v>
      </c>
      <c r="L6" s="157"/>
    </row>
    <row r="7" spans="2:15" s="2" customFormat="1" ht="13.5" customHeight="1" thickBot="1">
      <c r="B7" s="18"/>
      <c r="C7" s="18"/>
      <c r="D7" s="19"/>
      <c r="E7" s="19" t="s">
        <v>130</v>
      </c>
      <c r="F7" s="19"/>
      <c r="G7" s="19"/>
      <c r="H7" s="280"/>
      <c r="I7" s="20"/>
      <c r="J7" s="278" t="s">
        <v>99</v>
      </c>
      <c r="K7" s="279">
        <v>0.423893</v>
      </c>
      <c r="M7" s="445" t="s">
        <v>108</v>
      </c>
      <c r="N7" s="446"/>
      <c r="O7" s="157"/>
    </row>
    <row r="8" spans="2:15" s="2" customFormat="1" ht="13.5" customHeight="1" thickBot="1">
      <c r="B8" s="197" t="s">
        <v>122</v>
      </c>
      <c r="C8" s="8"/>
      <c r="D8" s="8"/>
      <c r="E8" s="8"/>
      <c r="F8" s="8"/>
      <c r="G8" s="8"/>
      <c r="H8" s="19"/>
      <c r="I8" s="19"/>
      <c r="J8" s="270"/>
      <c r="K8" s="223"/>
      <c r="M8" s="221" t="s">
        <v>124</v>
      </c>
      <c r="N8" s="529">
        <v>4.6184</v>
      </c>
      <c r="O8" s="154"/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450" t="s">
        <v>138</v>
      </c>
      <c r="K9" s="451"/>
      <c r="L9" s="8"/>
      <c r="M9" s="221" t="s">
        <v>125</v>
      </c>
      <c r="N9" s="223"/>
      <c r="O9" s="157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8"/>
      <c r="I10" s="19"/>
      <c r="J10" s="465" t="s">
        <v>100</v>
      </c>
      <c r="K10" s="456">
        <v>851.68</v>
      </c>
      <c r="L10" s="45"/>
      <c r="M10" s="224"/>
      <c r="N10" s="225"/>
      <c r="O10" s="158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466"/>
      <c r="K11" s="457"/>
      <c r="L11" s="45" t="s">
        <v>139</v>
      </c>
      <c r="M11" s="445" t="s">
        <v>109</v>
      </c>
      <c r="N11" s="446"/>
      <c r="O11" s="157"/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0"/>
      <c r="K12" s="223"/>
      <c r="L12" s="45"/>
      <c r="M12" s="226" t="s">
        <v>107</v>
      </c>
      <c r="N12" s="222">
        <v>2.2</v>
      </c>
      <c r="O12" s="154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450" t="s">
        <v>128</v>
      </c>
      <c r="K13" s="451"/>
      <c r="L13" s="45"/>
      <c r="M13" s="227"/>
      <c r="N13" s="228"/>
      <c r="O13" s="159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6" t="s">
        <v>73</v>
      </c>
      <c r="K14" s="277">
        <v>0</v>
      </c>
      <c r="L14" s="183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0"/>
      <c r="K15" s="223"/>
      <c r="L15" s="45"/>
      <c r="M15" s="206"/>
      <c r="N15" s="160"/>
      <c r="O15" s="155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452" t="s">
        <v>90</v>
      </c>
      <c r="K16" s="453"/>
      <c r="M16" s="206"/>
      <c r="N16" s="156"/>
      <c r="O16" s="155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1" t="s">
        <v>91</v>
      </c>
      <c r="K17" s="272">
        <v>1924.97</v>
      </c>
      <c r="L17" s="439" t="s">
        <v>139</v>
      </c>
      <c r="M17" s="202"/>
      <c r="N17" s="460"/>
      <c r="O17" s="460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3" t="s">
        <v>92</v>
      </c>
      <c r="K18" s="272">
        <v>2122.41</v>
      </c>
      <c r="L18" s="439"/>
      <c r="M18" s="202"/>
      <c r="N18" s="460"/>
      <c r="O18" s="460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3" t="s">
        <v>93</v>
      </c>
      <c r="K19" s="272">
        <v>545</v>
      </c>
      <c r="L19" s="438" t="s">
        <v>139</v>
      </c>
      <c r="M19" s="202"/>
      <c r="N19" s="460"/>
      <c r="O19" s="460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4" t="s">
        <v>94</v>
      </c>
      <c r="K20" s="275">
        <v>585</v>
      </c>
      <c r="L20" s="438"/>
      <c r="M20" s="202"/>
      <c r="N20" s="460"/>
      <c r="O20" s="460"/>
    </row>
    <row r="21" spans="2:15" s="2" customFormat="1" ht="13.5" customHeight="1">
      <c r="B21" s="198">
        <v>2012</v>
      </c>
      <c r="C21" s="199">
        <v>0</v>
      </c>
      <c r="D21" s="266">
        <v>10</v>
      </c>
      <c r="E21" s="266">
        <v>15</v>
      </c>
      <c r="F21" s="266">
        <v>4</v>
      </c>
      <c r="G21" s="201">
        <f t="shared" si="0"/>
        <v>29</v>
      </c>
      <c r="H21" s="8"/>
      <c r="I21" s="8"/>
      <c r="J21" s="8"/>
      <c r="K21" s="178"/>
      <c r="L21" s="35"/>
      <c r="M21" s="202"/>
      <c r="N21" s="460"/>
      <c r="O21" s="460"/>
    </row>
    <row r="22" spans="2:15" s="2" customFormat="1" ht="13.5" customHeight="1" thickBot="1">
      <c r="B22" s="198">
        <v>2011</v>
      </c>
      <c r="C22" s="199">
        <v>0</v>
      </c>
      <c r="D22" s="200">
        <v>0</v>
      </c>
      <c r="E22" s="200">
        <v>0</v>
      </c>
      <c r="F22" s="200">
        <v>0</v>
      </c>
      <c r="G22" s="201">
        <f t="shared" si="0"/>
        <v>0</v>
      </c>
      <c r="H22" s="8"/>
      <c r="I22" s="8"/>
      <c r="J22" s="458" t="s">
        <v>140</v>
      </c>
      <c r="K22" s="458"/>
      <c r="L22" s="35"/>
      <c r="M22" s="202"/>
      <c r="N22" s="460"/>
      <c r="O22" s="460"/>
    </row>
    <row r="23" spans="2:19" s="2" customFormat="1" ht="15" customHeight="1">
      <c r="B23" s="198">
        <v>2010</v>
      </c>
      <c r="C23" s="199">
        <v>0</v>
      </c>
      <c r="D23" s="351">
        <v>5</v>
      </c>
      <c r="E23" s="266">
        <v>2</v>
      </c>
      <c r="F23" s="266">
        <v>6</v>
      </c>
      <c r="G23" s="201">
        <v>0</v>
      </c>
      <c r="H23" s="8"/>
      <c r="I23" s="8"/>
      <c r="J23" s="452" t="s">
        <v>87</v>
      </c>
      <c r="K23" s="453"/>
      <c r="L23" s="35"/>
      <c r="M23" s="202"/>
      <c r="N23" s="460"/>
      <c r="O23" s="460"/>
      <c r="P23"/>
      <c r="Q23" s="149"/>
      <c r="R23" s="149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1" t="s">
        <v>88</v>
      </c>
      <c r="K24" s="348">
        <v>196</v>
      </c>
      <c r="L24" s="35" t="s">
        <v>139</v>
      </c>
      <c r="M24" s="202"/>
      <c r="N24" s="460"/>
      <c r="O24" s="460"/>
      <c r="P24" s="143"/>
      <c r="Q24" s="142"/>
      <c r="R24" s="142"/>
      <c r="S24" s="142"/>
    </row>
    <row r="25" spans="5:19" s="2" customFormat="1" ht="10.5" customHeight="1">
      <c r="E25" s="455" t="s">
        <v>133</v>
      </c>
      <c r="F25" s="455"/>
      <c r="H25" s="8"/>
      <c r="I25" s="8"/>
      <c r="J25" s="273" t="s">
        <v>104</v>
      </c>
      <c r="K25" s="349">
        <v>90.94</v>
      </c>
      <c r="L25" s="33"/>
      <c r="M25" s="202"/>
      <c r="N25" s="460"/>
      <c r="O25" s="460"/>
      <c r="P25" s="143"/>
      <c r="Q25" s="142"/>
      <c r="R25" s="142"/>
      <c r="S25" s="142"/>
    </row>
    <row r="26" spans="2:22" s="2" customFormat="1" ht="13.5" customHeight="1">
      <c r="B26" s="454" t="s">
        <v>126</v>
      </c>
      <c r="C26" s="454"/>
      <c r="D26" s="187"/>
      <c r="E26" s="187"/>
      <c r="F26" s="187"/>
      <c r="G26" s="187"/>
      <c r="H26" s="168"/>
      <c r="I26" s="34"/>
      <c r="J26" s="273" t="s">
        <v>105</v>
      </c>
      <c r="K26" s="349">
        <f>163.85*12</f>
        <v>1966.1999999999998</v>
      </c>
      <c r="L26" s="283"/>
      <c r="M26" s="202"/>
      <c r="N26" s="155"/>
      <c r="O26" s="155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116</v>
      </c>
      <c r="E27" s="43">
        <v>21</v>
      </c>
      <c r="F27" s="43">
        <v>14</v>
      </c>
      <c r="G27" s="44">
        <f>SUM(C27:F27)</f>
        <v>151</v>
      </c>
      <c r="H27" s="8"/>
      <c r="I27" s="8"/>
      <c r="J27" s="274" t="s">
        <v>89</v>
      </c>
      <c r="K27" s="350">
        <f>K26+K25</f>
        <v>2057.14</v>
      </c>
      <c r="L27" s="33"/>
      <c r="M27" s="202"/>
      <c r="N27" s="155"/>
      <c r="O27" s="155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47" t="s">
        <v>106</v>
      </c>
      <c r="M28" s="155"/>
      <c r="N28" s="155"/>
      <c r="O28" s="155"/>
      <c r="P28" s="143"/>
      <c r="Q28" s="142"/>
      <c r="R28" s="142"/>
      <c r="S28" s="142"/>
    </row>
    <row r="29" spans="2:19" ht="12.75">
      <c r="B29" s="207" t="s">
        <v>43</v>
      </c>
      <c r="C29" s="208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8">
        <v>5.92</v>
      </c>
      <c r="E29" s="208">
        <v>4.79</v>
      </c>
      <c r="F29" s="208">
        <v>9.6</v>
      </c>
      <c r="G29" s="208">
        <v>5.98</v>
      </c>
      <c r="J29" s="204" t="s">
        <v>95</v>
      </c>
      <c r="K29" s="205" t="s">
        <v>106</v>
      </c>
      <c r="M29" s="155"/>
      <c r="N29" s="155"/>
      <c r="O29" s="161"/>
      <c r="P29" s="143"/>
      <c r="Q29" s="142"/>
      <c r="R29" s="142"/>
      <c r="S29" s="142"/>
    </row>
    <row r="30" spans="2:19" ht="12.75">
      <c r="B30" s="41" t="s">
        <v>123</v>
      </c>
      <c r="C30" s="175"/>
      <c r="D30" s="176">
        <f>((D24-D27)/D24)</f>
        <v>0.03333333333333333</v>
      </c>
      <c r="E30" s="176">
        <f>((E24-E27)/E24)</f>
        <v>0.125</v>
      </c>
      <c r="F30" s="176">
        <f>((F24-F27)/F24)</f>
        <v>-0.4</v>
      </c>
      <c r="G30" s="176">
        <f>((G24-G27)/G24)</f>
        <v>0.01948051948051948</v>
      </c>
      <c r="J30" s="60" t="s">
        <v>96</v>
      </c>
      <c r="K30" s="165">
        <v>0</v>
      </c>
      <c r="M30" s="162"/>
      <c r="N30" s="155"/>
      <c r="O30" s="161"/>
      <c r="P30" s="143"/>
      <c r="Q30" s="142"/>
      <c r="R30" s="142"/>
      <c r="S30" s="142"/>
    </row>
    <row r="31" spans="10:19" ht="12.75">
      <c r="J31" s="60" t="s">
        <v>101</v>
      </c>
      <c r="K31" s="165">
        <v>0</v>
      </c>
      <c r="M31" s="154"/>
      <c r="N31" s="161"/>
      <c r="O31" s="161"/>
      <c r="P31" s="141"/>
      <c r="Q31" s="142"/>
      <c r="R31" s="142"/>
      <c r="S31" s="142"/>
    </row>
    <row r="32" spans="6:19" ht="12.75">
      <c r="F32" s="169"/>
      <c r="J32" s="60" t="s">
        <v>102</v>
      </c>
      <c r="K32" s="165">
        <v>0</v>
      </c>
      <c r="M32" s="161"/>
      <c r="N32" s="161"/>
      <c r="O32" s="161"/>
      <c r="P32" s="143"/>
      <c r="Q32" s="142"/>
      <c r="R32" s="142"/>
      <c r="S32" s="142"/>
    </row>
    <row r="33" spans="2:19" ht="12.75">
      <c r="B33" s="196" t="s">
        <v>127</v>
      </c>
      <c r="C33" s="196"/>
      <c r="D33" s="196"/>
      <c r="J33" s="61" t="s">
        <v>103</v>
      </c>
      <c r="K33" s="165">
        <v>0</v>
      </c>
      <c r="M33" s="161"/>
      <c r="N33" s="161"/>
      <c r="O33" s="161"/>
      <c r="P33" s="143"/>
      <c r="Q33" s="142"/>
      <c r="R33" s="142"/>
      <c r="S33" s="142"/>
    </row>
    <row r="34" spans="2:19" ht="15">
      <c r="B34" s="172" t="s">
        <v>120</v>
      </c>
      <c r="C34" s="172" t="s">
        <v>112</v>
      </c>
      <c r="D34" s="172" t="s">
        <v>113</v>
      </c>
      <c r="E34" s="172" t="s">
        <v>21</v>
      </c>
      <c r="J34" s="61" t="s">
        <v>119</v>
      </c>
      <c r="K34" s="165">
        <v>0</v>
      </c>
      <c r="M34" s="163"/>
      <c r="N34" s="161"/>
      <c r="O34" s="161"/>
      <c r="P34" s="141"/>
      <c r="Q34" s="142"/>
      <c r="R34" s="142"/>
      <c r="S34" s="142"/>
    </row>
    <row r="35" spans="2:15" ht="12.75">
      <c r="B35" s="173" t="s">
        <v>26</v>
      </c>
      <c r="C35" s="174">
        <v>20</v>
      </c>
      <c r="D35" s="174">
        <v>0</v>
      </c>
      <c r="E35" s="174">
        <f>D35+C35</f>
        <v>20</v>
      </c>
      <c r="J35" s="62" t="s">
        <v>89</v>
      </c>
      <c r="K35" s="166">
        <v>0</v>
      </c>
      <c r="M35" s="177"/>
      <c r="N35" s="161"/>
      <c r="O35" s="161"/>
    </row>
    <row r="36" spans="2:15" ht="12.75">
      <c r="B36" s="173" t="s">
        <v>114</v>
      </c>
      <c r="C36" s="174">
        <v>156</v>
      </c>
      <c r="D36" s="174">
        <v>0</v>
      </c>
      <c r="E36" s="174">
        <f>D36+C36</f>
        <v>156</v>
      </c>
      <c r="J36" s="154"/>
      <c r="K36" s="164"/>
      <c r="M36" s="166"/>
      <c r="N36" s="161"/>
      <c r="O36" s="161"/>
    </row>
    <row r="37" spans="2:15" ht="12.75">
      <c r="B37" s="173" t="s">
        <v>115</v>
      </c>
      <c r="C37" s="174">
        <v>41</v>
      </c>
      <c r="D37" s="174">
        <v>0</v>
      </c>
      <c r="E37" s="174">
        <f>D37+C37</f>
        <v>41</v>
      </c>
      <c r="M37" s="161"/>
      <c r="N37" s="161"/>
      <c r="O37" s="161"/>
    </row>
    <row r="38" spans="13:21" ht="12.75">
      <c r="M38" s="161"/>
      <c r="N38" s="161"/>
      <c r="O38" s="161"/>
      <c r="Q38" s="146"/>
      <c r="R38" s="146"/>
      <c r="S38" s="146"/>
      <c r="T38" s="147"/>
      <c r="U38" s="147"/>
    </row>
    <row r="39" spans="2:5" ht="15">
      <c r="B39" s="172" t="s">
        <v>120</v>
      </c>
      <c r="C39" s="172" t="s">
        <v>112</v>
      </c>
      <c r="D39" s="172" t="s">
        <v>113</v>
      </c>
      <c r="E39" s="172" t="s">
        <v>21</v>
      </c>
    </row>
    <row r="40" spans="2:21" ht="12.75">
      <c r="B40" s="173" t="s">
        <v>26</v>
      </c>
      <c r="C40" s="149">
        <f>C35/E35</f>
        <v>1</v>
      </c>
      <c r="D40" s="149">
        <f>D35/E35</f>
        <v>0</v>
      </c>
      <c r="E40" s="174">
        <f>D40+C40</f>
        <v>1</v>
      </c>
      <c r="J40" s="449"/>
      <c r="Q40" s="146"/>
      <c r="R40" s="146"/>
      <c r="S40" s="146"/>
      <c r="T40" s="147"/>
      <c r="U40" s="147"/>
    </row>
    <row r="41" spans="2:10" ht="12.75" customHeight="1">
      <c r="B41" s="173" t="s">
        <v>114</v>
      </c>
      <c r="C41" s="149">
        <f>C36/E36</f>
        <v>1</v>
      </c>
      <c r="D41" s="149">
        <f>D36/E36</f>
        <v>0</v>
      </c>
      <c r="E41" s="174">
        <f>D41+C41</f>
        <v>1</v>
      </c>
      <c r="J41" s="449"/>
    </row>
    <row r="42" spans="2:10" ht="12.75" customHeight="1">
      <c r="B42" s="173" t="s">
        <v>115</v>
      </c>
      <c r="C42" s="149">
        <f>C37/E37</f>
        <v>1</v>
      </c>
      <c r="D42" s="149">
        <f>D37/E37</f>
        <v>0</v>
      </c>
      <c r="E42" s="174">
        <f>D42+C42</f>
        <v>1</v>
      </c>
      <c r="J42" s="449"/>
    </row>
    <row r="43" spans="9:11" ht="12.75" customHeight="1">
      <c r="I43" s="34"/>
      <c r="J43" s="449"/>
      <c r="K43" s="34"/>
    </row>
    <row r="44" spans="10:11" ht="12.75" customHeight="1">
      <c r="J44" s="449"/>
      <c r="K44" s="147"/>
    </row>
    <row r="45" ht="12.75" customHeight="1">
      <c r="J45" s="449"/>
    </row>
    <row r="48" spans="8:11" ht="11.25">
      <c r="H48" s="167"/>
      <c r="K48" s="139"/>
    </row>
    <row r="49" spans="3:8" ht="11.25">
      <c r="C49" s="459"/>
      <c r="D49" s="459"/>
      <c r="E49" s="19"/>
      <c r="F49" s="19"/>
      <c r="H49" s="167"/>
    </row>
    <row r="50" spans="3:8" ht="11.25">
      <c r="C50" s="459"/>
      <c r="D50" s="459"/>
      <c r="E50" s="19"/>
      <c r="F50" s="19"/>
      <c r="H50" s="167"/>
    </row>
  </sheetData>
  <sheetProtection/>
  <mergeCells count="25"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  <mergeCell ref="J40:J45"/>
    <mergeCell ref="J9:K9"/>
    <mergeCell ref="J23:K23"/>
    <mergeCell ref="J16:K16"/>
    <mergeCell ref="B26:C26"/>
    <mergeCell ref="E25:F25"/>
    <mergeCell ref="K10:K11"/>
    <mergeCell ref="J22:K22"/>
    <mergeCell ref="L19:L20"/>
    <mergeCell ref="L17:L18"/>
    <mergeCell ref="B2:H2"/>
    <mergeCell ref="I4:I6"/>
    <mergeCell ref="M4:N4"/>
    <mergeCell ref="M11:N11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18" zoomScaleNormal="118" zoomScalePageLayoutView="0" workbookViewId="0" topLeftCell="H52">
      <selection activeCell="O6" sqref="O6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487" t="s">
        <v>132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29" t="s">
        <v>24</v>
      </c>
      <c r="C4" s="479" t="s">
        <v>32</v>
      </c>
      <c r="D4" s="480"/>
      <c r="E4" s="480"/>
      <c r="F4" s="480" t="s">
        <v>40</v>
      </c>
      <c r="G4" s="480" t="s">
        <v>40</v>
      </c>
      <c r="H4" s="480"/>
      <c r="I4" s="480" t="s">
        <v>26</v>
      </c>
      <c r="J4" s="480"/>
      <c r="K4" s="481"/>
      <c r="L4" s="488" t="s">
        <v>27</v>
      </c>
      <c r="M4" s="489"/>
      <c r="N4" s="46"/>
      <c r="O4" s="46"/>
      <c r="P4" s="47"/>
    </row>
    <row r="5" spans="2:16" ht="13.5" customHeight="1">
      <c r="B5" s="230" t="s">
        <v>135</v>
      </c>
      <c r="C5" s="484">
        <v>24</v>
      </c>
      <c r="D5" s="485"/>
      <c r="E5" s="485"/>
      <c r="F5" s="475">
        <v>120</v>
      </c>
      <c r="G5" s="475"/>
      <c r="H5" s="475"/>
      <c r="I5" s="475">
        <v>10</v>
      </c>
      <c r="J5" s="475"/>
      <c r="K5" s="476"/>
      <c r="L5" s="496">
        <f>SUM(C5:K5)</f>
        <v>154</v>
      </c>
      <c r="M5" s="497"/>
      <c r="N5" s="46"/>
      <c r="O5" s="46"/>
      <c r="P5" s="47"/>
    </row>
    <row r="6" spans="2:14" ht="13.5" customHeight="1">
      <c r="B6" s="231" t="s">
        <v>142</v>
      </c>
      <c r="C6" s="467">
        <v>41</v>
      </c>
      <c r="D6" s="468"/>
      <c r="E6" s="469"/>
      <c r="F6" s="470">
        <v>135</v>
      </c>
      <c r="G6" s="468"/>
      <c r="H6" s="469"/>
      <c r="I6" s="470">
        <v>20</v>
      </c>
      <c r="J6" s="468"/>
      <c r="K6" s="471"/>
      <c r="L6" s="467">
        <f>SUM(C6:K6)</f>
        <v>196</v>
      </c>
      <c r="M6" s="472"/>
      <c r="N6" s="46"/>
    </row>
    <row r="7" spans="2:16" ht="13.5" customHeight="1">
      <c r="B7" s="230" t="s">
        <v>63</v>
      </c>
      <c r="C7" s="486">
        <f>'FROTA E CUSTOS'!E27</f>
        <v>21</v>
      </c>
      <c r="D7" s="475"/>
      <c r="E7" s="475"/>
      <c r="F7" s="475">
        <f>'FROTA E CUSTOS'!D27</f>
        <v>116</v>
      </c>
      <c r="G7" s="475"/>
      <c r="H7" s="475"/>
      <c r="I7" s="475">
        <f>'FROTA E CUSTOS'!F27</f>
        <v>14</v>
      </c>
      <c r="J7" s="475"/>
      <c r="K7" s="476"/>
      <c r="L7" s="496">
        <v>151</v>
      </c>
      <c r="M7" s="497"/>
      <c r="N7" s="46"/>
      <c r="O7" s="46"/>
      <c r="P7" s="47"/>
    </row>
    <row r="8" spans="2:16" ht="13.5" customHeight="1">
      <c r="B8" s="230" t="s">
        <v>64</v>
      </c>
      <c r="C8" s="477">
        <f>'KM, PASSAGEIROS E PESSOAL'!G9</f>
        <v>178582.874</v>
      </c>
      <c r="D8" s="474"/>
      <c r="E8" s="71">
        <f>C8/L8</f>
        <v>0.18569081768173207</v>
      </c>
      <c r="F8" s="473">
        <f>'KM, PASSAGEIROS E PESSOAL'!H9</f>
        <v>708689.326</v>
      </c>
      <c r="G8" s="474"/>
      <c r="H8" s="71">
        <f>F8/L8</f>
        <v>0.7368965314515857</v>
      </c>
      <c r="I8" s="473">
        <f>'KM, PASSAGEIROS E PESSOAL'!I9</f>
        <v>74449.42</v>
      </c>
      <c r="J8" s="474"/>
      <c r="K8" s="72">
        <f>I8/L8</f>
        <v>0.07741265086668218</v>
      </c>
      <c r="L8" s="490">
        <f>SUM(C8,F8,I8)</f>
        <v>961721.62</v>
      </c>
      <c r="M8" s="491"/>
      <c r="N8" s="46"/>
      <c r="O8" s="46"/>
      <c r="P8" s="47"/>
    </row>
    <row r="9" spans="2:16" ht="13.5" customHeight="1">
      <c r="B9" s="230" t="s">
        <v>110</v>
      </c>
      <c r="C9" s="477">
        <f>E9*C8</f>
        <v>0</v>
      </c>
      <c r="D9" s="474"/>
      <c r="E9" s="71">
        <f>'FROTA E CUSTOS'!D42</f>
        <v>0</v>
      </c>
      <c r="F9" s="477">
        <f>H9*F8</f>
        <v>0</v>
      </c>
      <c r="G9" s="474"/>
      <c r="H9" s="71">
        <f>'FROTA E CUSTOS'!D41</f>
        <v>0</v>
      </c>
      <c r="I9" s="477">
        <f>K9*I8</f>
        <v>0</v>
      </c>
      <c r="J9" s="474"/>
      <c r="K9" s="72">
        <f>'FROTA E CUSTOS'!D40</f>
        <v>0</v>
      </c>
      <c r="L9" s="510">
        <f>(I9+F9+C9)/L8</f>
        <v>0</v>
      </c>
      <c r="M9" s="511"/>
      <c r="N9" s="46"/>
      <c r="O9" s="46"/>
      <c r="P9" s="47"/>
    </row>
    <row r="10" spans="2:16" ht="13.5" customHeight="1">
      <c r="B10" s="230" t="s">
        <v>111</v>
      </c>
      <c r="C10" s="477">
        <f>E10*C8</f>
        <v>178582.874</v>
      </c>
      <c r="D10" s="474"/>
      <c r="E10" s="71">
        <f>'FROTA E CUSTOS'!C42</f>
        <v>1</v>
      </c>
      <c r="F10" s="477">
        <f>H10*F8</f>
        <v>708689.326</v>
      </c>
      <c r="G10" s="474"/>
      <c r="H10" s="71">
        <f>'FROTA E CUSTOS'!C41</f>
        <v>1</v>
      </c>
      <c r="I10" s="477">
        <f>K10*I8</f>
        <v>74449.42</v>
      </c>
      <c r="J10" s="474"/>
      <c r="K10" s="72">
        <f>'FROTA E CUSTOS'!C40</f>
        <v>1</v>
      </c>
      <c r="L10" s="510">
        <f>(I10+F10+C10)/L8</f>
        <v>1.0000000000000002</v>
      </c>
      <c r="M10" s="511"/>
      <c r="N10" s="46"/>
      <c r="P10" s="5"/>
    </row>
    <row r="11" spans="2:14" ht="13.5" customHeight="1">
      <c r="B11" s="230" t="s">
        <v>65</v>
      </c>
      <c r="C11" s="495">
        <f>C8/C7</f>
        <v>8503.946380952382</v>
      </c>
      <c r="D11" s="482"/>
      <c r="E11" s="482"/>
      <c r="F11" s="482">
        <f>F8/F7</f>
        <v>6109.39074137931</v>
      </c>
      <c r="G11" s="482"/>
      <c r="H11" s="482"/>
      <c r="I11" s="482">
        <f>I8/I7</f>
        <v>5317.815714285714</v>
      </c>
      <c r="J11" s="482"/>
      <c r="K11" s="483"/>
      <c r="L11" s="505">
        <f>L8/L7</f>
        <v>6369.0173509933775</v>
      </c>
      <c r="M11" s="506"/>
      <c r="N11" s="46"/>
    </row>
    <row r="12" spans="2:16" ht="13.5" customHeight="1">
      <c r="B12" s="231" t="s">
        <v>136</v>
      </c>
      <c r="C12" s="522">
        <f>C8/C6</f>
        <v>4355.679853658537</v>
      </c>
      <c r="D12" s="523"/>
      <c r="E12" s="523"/>
      <c r="F12" s="507">
        <f>F8/F6</f>
        <v>5249.550562962963</v>
      </c>
      <c r="G12" s="508"/>
      <c r="H12" s="509"/>
      <c r="I12" s="507">
        <f>I8/I6</f>
        <v>3722.471</v>
      </c>
      <c r="J12" s="508"/>
      <c r="K12" s="509"/>
      <c r="L12" s="209"/>
      <c r="M12" s="232"/>
      <c r="N12" s="46"/>
      <c r="P12" s="5"/>
    </row>
    <row r="13" spans="2:16" ht="13.5" customHeight="1">
      <c r="B13" s="230" t="s">
        <v>134</v>
      </c>
      <c r="C13" s="495">
        <f>C8/C5</f>
        <v>7440.953083333334</v>
      </c>
      <c r="D13" s="482"/>
      <c r="E13" s="482"/>
      <c r="F13" s="482">
        <f>F8/F5</f>
        <v>5905.744383333334</v>
      </c>
      <c r="G13" s="482"/>
      <c r="H13" s="482"/>
      <c r="I13" s="482">
        <f>I8/I5</f>
        <v>7444.942</v>
      </c>
      <c r="J13" s="482"/>
      <c r="K13" s="483"/>
      <c r="L13" s="505">
        <f>L8/L5</f>
        <v>6244.945584415585</v>
      </c>
      <c r="M13" s="506"/>
      <c r="N13" s="46"/>
      <c r="P13" s="5"/>
    </row>
    <row r="14" spans="2:16" ht="13.5" customHeight="1">
      <c r="B14" s="492" t="s">
        <v>66</v>
      </c>
      <c r="C14" s="493"/>
      <c r="D14" s="493"/>
      <c r="E14" s="493"/>
      <c r="F14" s="493"/>
      <c r="G14" s="493"/>
      <c r="H14" s="493"/>
      <c r="I14" s="493"/>
      <c r="J14" s="493"/>
      <c r="K14" s="494"/>
      <c r="L14" s="402">
        <f>'KM, PASSAGEIROS E PESSOAL'!C14</f>
        <v>1770662</v>
      </c>
      <c r="M14" s="403"/>
      <c r="N14" s="134"/>
      <c r="P14" s="5"/>
    </row>
    <row r="15" spans="2:16" ht="9" customHeight="1"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236"/>
      <c r="N15" s="46"/>
      <c r="P15" s="5"/>
    </row>
    <row r="16" spans="2:20" ht="13.5" customHeight="1">
      <c r="B16" s="512" t="s">
        <v>28</v>
      </c>
      <c r="C16" s="501" t="s">
        <v>32</v>
      </c>
      <c r="D16" s="502"/>
      <c r="E16" s="503"/>
      <c r="F16" s="501" t="s">
        <v>40</v>
      </c>
      <c r="G16" s="502" t="s">
        <v>40</v>
      </c>
      <c r="H16" s="504"/>
      <c r="I16" s="516" t="s">
        <v>26</v>
      </c>
      <c r="J16" s="502"/>
      <c r="K16" s="503"/>
      <c r="L16" s="501" t="s">
        <v>67</v>
      </c>
      <c r="M16" s="514"/>
      <c r="N16" s="46"/>
      <c r="P16" s="5"/>
      <c r="T16" s="5">
        <v>12</v>
      </c>
    </row>
    <row r="17" spans="2:16" ht="13.5" customHeight="1">
      <c r="B17" s="513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8" t="s">
        <v>2</v>
      </c>
      <c r="N17" s="46"/>
      <c r="P17" s="5"/>
    </row>
    <row r="18" spans="2:16" ht="9.75" customHeight="1">
      <c r="B18" s="233"/>
      <c r="C18" s="235"/>
      <c r="D18" s="235"/>
      <c r="E18" s="235"/>
      <c r="F18" s="235"/>
      <c r="G18" s="235"/>
      <c r="H18" s="235"/>
      <c r="I18" s="235"/>
      <c r="J18" s="235"/>
      <c r="K18" s="235"/>
      <c r="L18" s="234"/>
      <c r="M18" s="239"/>
      <c r="N18" s="46"/>
      <c r="P18" s="5"/>
    </row>
    <row r="19" spans="2:16" ht="15" customHeight="1">
      <c r="B19" s="240" t="s">
        <v>74</v>
      </c>
      <c r="C19" s="97"/>
      <c r="D19" s="98"/>
      <c r="E19" s="99">
        <f>SUM(E20:E27)</f>
        <v>1.8642899645714288</v>
      </c>
      <c r="F19" s="100"/>
      <c r="G19" s="101"/>
      <c r="H19" s="102">
        <f>SUM(H20:H27)</f>
        <v>2.1277736045714284</v>
      </c>
      <c r="I19" s="103"/>
      <c r="J19" s="101"/>
      <c r="K19" s="99">
        <f>SUM(K20:K27)</f>
        <v>4.024223516</v>
      </c>
      <c r="L19" s="104">
        <f aca="true" t="shared" si="0" ref="L19:L27">($E19*$E$8)+($H19*$H$8)+($K19*$K$8)</f>
        <v>2.2256563268936396</v>
      </c>
      <c r="M19" s="241">
        <f aca="true" t="shared" si="1" ref="M19:M27">L19/$L$52</f>
        <v>0.2330294256780333</v>
      </c>
      <c r="N19" s="46"/>
      <c r="P19" s="5"/>
    </row>
    <row r="20" spans="2:17" ht="15" customHeight="1">
      <c r="B20" s="242" t="s">
        <v>116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3">
        <f t="shared" si="1"/>
        <v>0</v>
      </c>
      <c r="N20" s="46"/>
      <c r="O20" s="107"/>
      <c r="P20" s="107"/>
      <c r="Q20" s="107"/>
    </row>
    <row r="21" spans="2:16" s="361" customFormat="1" ht="15" customHeight="1">
      <c r="B21" s="352" t="s">
        <v>117</v>
      </c>
      <c r="C21" s="353">
        <v>0.3448</v>
      </c>
      <c r="D21" s="354">
        <f>'FROTA E CUSTOS'!N8</f>
        <v>4.6184</v>
      </c>
      <c r="E21" s="355">
        <f>E10*(C21*D21)</f>
        <v>1.5924243200000001</v>
      </c>
      <c r="F21" s="356">
        <v>0.3968</v>
      </c>
      <c r="G21" s="354">
        <f>'FROTA E CUSTOS'!N8</f>
        <v>4.6184</v>
      </c>
      <c r="H21" s="355">
        <f>H10*(F21*G21)</f>
        <v>1.83258112</v>
      </c>
      <c r="I21" s="357">
        <v>0.7463</v>
      </c>
      <c r="J21" s="354">
        <f>'FROTA E CUSTOS'!N8</f>
        <v>4.6184</v>
      </c>
      <c r="K21" s="355">
        <f>K10*(I21*J21)</f>
        <v>3.4467119200000003</v>
      </c>
      <c r="L21" s="358">
        <f t="shared" si="0"/>
        <v>1.91294035150973</v>
      </c>
      <c r="M21" s="359">
        <f t="shared" si="1"/>
        <v>0.2002876122796609</v>
      </c>
      <c r="N21" s="360" t="s">
        <v>106</v>
      </c>
      <c r="P21" s="362"/>
    </row>
    <row r="22" spans="2:16" s="361" customFormat="1" ht="15" customHeight="1">
      <c r="B22" s="352" t="s">
        <v>118</v>
      </c>
      <c r="C22" s="353">
        <v>0.0019</v>
      </c>
      <c r="D22" s="354">
        <f>'FROTA E CUSTOS'!N12</f>
        <v>2.2</v>
      </c>
      <c r="E22" s="355">
        <f>E10*(C22*D22)</f>
        <v>0.0041800000000000006</v>
      </c>
      <c r="F22" s="356">
        <v>0.0068</v>
      </c>
      <c r="G22" s="354">
        <f>'FROTA E CUSTOS'!N12</f>
        <v>2.2</v>
      </c>
      <c r="H22" s="355">
        <f>H10*(F22*G22)</f>
        <v>0.014960000000000001</v>
      </c>
      <c r="I22" s="357">
        <v>0.0276</v>
      </c>
      <c r="J22" s="354">
        <f>'FROTA E CUSTOS'!N12</f>
        <v>2.2</v>
      </c>
      <c r="K22" s="355">
        <f>K10*(I22*J22)</f>
        <v>0.06072</v>
      </c>
      <c r="L22" s="358">
        <f t="shared" si="0"/>
        <v>0.016500655889050305</v>
      </c>
      <c r="M22" s="359">
        <f t="shared" si="1"/>
        <v>0.0017276424570467853</v>
      </c>
      <c r="N22" s="363"/>
      <c r="P22" s="362"/>
    </row>
    <row r="23" spans="2:14" ht="15" customHeight="1">
      <c r="B23" s="244" t="s">
        <v>0</v>
      </c>
      <c r="C23" s="73">
        <v>0.05</v>
      </c>
      <c r="D23" s="137">
        <f>E20+E21+E22</f>
        <v>1.5966043200000002</v>
      </c>
      <c r="E23" s="51">
        <f>C23*D23</f>
        <v>0.07983021600000001</v>
      </c>
      <c r="F23" s="73">
        <v>0.05</v>
      </c>
      <c r="G23" s="137">
        <f>H20+H21+H22</f>
        <v>1.84754112</v>
      </c>
      <c r="H23" s="52">
        <f>0.05*G23</f>
        <v>0.09237705600000001</v>
      </c>
      <c r="I23" s="73">
        <v>0.05</v>
      </c>
      <c r="J23" s="137">
        <f>K20+K21+K22</f>
        <v>3.50743192</v>
      </c>
      <c r="K23" s="51">
        <f>0.05*J23</f>
        <v>0.17537159600000002</v>
      </c>
      <c r="L23" s="49">
        <f t="shared" si="0"/>
        <v>0.09647205036993904</v>
      </c>
      <c r="M23" s="245">
        <f t="shared" si="1"/>
        <v>0.010100762736835387</v>
      </c>
      <c r="N23" s="46"/>
    </row>
    <row r="24" spans="2:14" ht="15" customHeight="1">
      <c r="B24" s="246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0.10148302682635216</v>
      </c>
      <c r="M24" s="245">
        <f t="shared" si="1"/>
        <v>0.010625419195073874</v>
      </c>
      <c r="N24" s="46"/>
    </row>
    <row r="25" spans="2:14" ht="15" customHeight="1">
      <c r="B25" s="246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0.015647750888186183</v>
      </c>
      <c r="M25" s="245">
        <f t="shared" si="1"/>
        <v>0.0016383420740057576</v>
      </c>
      <c r="N25" s="46"/>
    </row>
    <row r="26" spans="2:14" ht="15" customHeight="1">
      <c r="B26" s="246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0.07183001503966546</v>
      </c>
      <c r="M26" s="245">
        <f t="shared" si="1"/>
        <v>0.007520706116608651</v>
      </c>
      <c r="N26" s="46"/>
    </row>
    <row r="27" spans="2:14" ht="15" customHeight="1">
      <c r="B27" s="247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0.010782476370716448</v>
      </c>
      <c r="M27" s="248">
        <f t="shared" si="1"/>
        <v>0.0011289408188019379</v>
      </c>
      <c r="N27" s="46"/>
    </row>
    <row r="28" spans="2:14" ht="9.75" customHeight="1">
      <c r="B28" s="233"/>
      <c r="C28" s="235"/>
      <c r="D28" s="235"/>
      <c r="E28" s="235"/>
      <c r="F28" s="235"/>
      <c r="G28" s="235"/>
      <c r="H28" s="235"/>
      <c r="I28" s="235"/>
      <c r="J28" s="235"/>
      <c r="K28" s="235"/>
      <c r="L28" s="234"/>
      <c r="M28" s="249"/>
      <c r="N28" s="46"/>
    </row>
    <row r="29" spans="2:17" s="107" customFormat="1" ht="15" customHeight="1">
      <c r="B29" s="250" t="s">
        <v>75</v>
      </c>
      <c r="C29" s="108"/>
      <c r="D29" s="109"/>
      <c r="E29" s="110">
        <f>SUM(E30:E41)</f>
        <v>3.955501743074121</v>
      </c>
      <c r="F29" s="112"/>
      <c r="G29" s="113"/>
      <c r="H29" s="111">
        <f>SUM(H30:H41)</f>
        <v>6.134773860275827</v>
      </c>
      <c r="I29" s="114"/>
      <c r="J29" s="113"/>
      <c r="K29" s="110">
        <f>SUM(K30:K41)</f>
        <v>8.088514888922964</v>
      </c>
      <c r="L29" s="115">
        <f aca="true" t="shared" si="2" ref="L29:L41">($E29*$E$8)+($H29*$H$8)+($K29*$K$8)</f>
        <v>5.881347311016216</v>
      </c>
      <c r="M29" s="251">
        <f aca="true" t="shared" si="3" ref="M29:M41">L29/$L$52</f>
        <v>0.6157855413427671</v>
      </c>
      <c r="O29" s="5"/>
      <c r="P29" s="130"/>
      <c r="Q29" s="5"/>
    </row>
    <row r="30" spans="2:14" ht="15" customHeight="1">
      <c r="B30" s="242" t="s">
        <v>3</v>
      </c>
      <c r="C30" s="136">
        <v>0.0064</v>
      </c>
      <c r="D30" s="83">
        <f>'FROTA E CUSTOS'!H4</f>
        <v>622450.18</v>
      </c>
      <c r="E30" s="85">
        <f>(C30*D30)/C11</f>
        <v>0.46845087839721966</v>
      </c>
      <c r="F30" s="136">
        <v>0.0064</v>
      </c>
      <c r="G30" s="81">
        <f>'FROTA E CUSTOS'!H5</f>
        <v>695450.18</v>
      </c>
      <c r="H30" s="85">
        <f>(F30*G30)/F11</f>
        <v>0.7285310991575455</v>
      </c>
      <c r="I30" s="136">
        <v>0.0064</v>
      </c>
      <c r="J30" s="81">
        <f>'FROTA E CUSTOS'!H6</f>
        <v>1538775.9</v>
      </c>
      <c r="K30" s="85">
        <f>(I30*J30)/I11</f>
        <v>1.8519193385254042</v>
      </c>
      <c r="L30" s="63">
        <f>($E30*$E$8)+($H30*$H$8)+($K30*$K$8)</f>
        <v>0.7672010518636361</v>
      </c>
      <c r="M30" s="243">
        <f t="shared" si="3"/>
        <v>0.08032705603964065</v>
      </c>
      <c r="N30" s="46"/>
    </row>
    <row r="31" spans="2:14" ht="15" customHeight="1">
      <c r="B31" s="246" t="s">
        <v>4</v>
      </c>
      <c r="C31" s="80">
        <f>'KM, PASSAGEIROS E PESSOAL'!M20</f>
        <v>3.1153855084364235</v>
      </c>
      <c r="D31" s="13">
        <f>'FROTA E CUSTOS'!K5</f>
        <v>2482.97</v>
      </c>
      <c r="E31" s="86">
        <f>(C31*D31*1.423893)/C$11</f>
        <v>1.295209763352965</v>
      </c>
      <c r="F31" s="80">
        <f>C31</f>
        <v>3.1153855084364235</v>
      </c>
      <c r="G31" s="66">
        <f>'FROTA E CUSTOS'!K4</f>
        <v>2482.97</v>
      </c>
      <c r="H31" s="86">
        <f>(F31*G31*1.423893)/F$11</f>
        <v>1.802862976996775</v>
      </c>
      <c r="I31" s="80">
        <f>F31</f>
        <v>3.1153855084364235</v>
      </c>
      <c r="J31" s="66">
        <f>'FROTA E CUSTOS'!K4</f>
        <v>2482.97</v>
      </c>
      <c r="K31" s="86">
        <f>(I31*J31*1.423893)/I$11</f>
        <v>2.071225287113787</v>
      </c>
      <c r="L31" s="49">
        <f>($E31*$E$8)+($H31*$H$8)+($K31*$K$8)</f>
        <v>1.7293710744753614</v>
      </c>
      <c r="M31" s="245">
        <f t="shared" si="3"/>
        <v>0.18106764436163342</v>
      </c>
      <c r="N31" s="46"/>
    </row>
    <row r="32" spans="2:14" ht="15" customHeight="1">
      <c r="B32" s="246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3.186895472252307</v>
      </c>
      <c r="G32" s="66">
        <f>'FROTA E CUSTOS'!K6</f>
        <v>1487.39</v>
      </c>
      <c r="H32" s="86">
        <f>(F32*G32*1.423893)/F$11</f>
        <v>1.1047706527530763</v>
      </c>
      <c r="I32" s="76">
        <f>F32</f>
        <v>3.186895472252307</v>
      </c>
      <c r="J32" s="66">
        <f>'FROTA E CUSTOS'!K6</f>
        <v>1487.39</v>
      </c>
      <c r="K32" s="153">
        <f>(I32*J32*1.423893)/I$11</f>
        <v>1.2692195367254855</v>
      </c>
      <c r="L32" s="49">
        <f>($E32*$E$8)+($H32*$H$8)+($K32*$K$8)</f>
        <v>0.9123553109329483</v>
      </c>
      <c r="M32" s="245">
        <f t="shared" si="3"/>
        <v>0.09552491620201906</v>
      </c>
      <c r="N32" s="46"/>
    </row>
    <row r="33" spans="2:16" ht="15" customHeight="1">
      <c r="B33" s="246" t="s">
        <v>59</v>
      </c>
      <c r="C33" s="80">
        <f>1/5</f>
        <v>0.2</v>
      </c>
      <c r="D33" s="66">
        <f>G33</f>
        <v>2482.97</v>
      </c>
      <c r="E33" s="86">
        <f>(C33*D33*1.423893)/C$11</f>
        <v>0.0831492449230154</v>
      </c>
      <c r="F33" s="80">
        <f>1/5</f>
        <v>0.2</v>
      </c>
      <c r="G33" s="66">
        <f>'FROTA E CUSTOS'!K4</f>
        <v>2482.97</v>
      </c>
      <c r="H33" s="86">
        <f>(F33*G33*1.423893)/F$11</f>
        <v>0.11573931843199795</v>
      </c>
      <c r="I33" s="80">
        <f>1/5</f>
        <v>0.2</v>
      </c>
      <c r="J33" s="66">
        <f>'FROTA E CUSTOS'!K4</f>
        <v>2482.97</v>
      </c>
      <c r="K33" s="86">
        <f>(I33*J33*1.423893)/I$11</f>
        <v>0.13296751117991248</v>
      </c>
      <c r="L33" s="49">
        <f>($E33*$E$8)+($H33*$H$8)+($K33*$K$8)</f>
        <v>0.11102132110406543</v>
      </c>
      <c r="M33" s="245">
        <f t="shared" si="3"/>
        <v>0.011624092355267403</v>
      </c>
      <c r="N33" s="46"/>
      <c r="P33" s="5"/>
    </row>
    <row r="34" spans="2:17" ht="15" customHeight="1">
      <c r="B34" s="244" t="s">
        <v>6</v>
      </c>
      <c r="C34" s="80">
        <v>0.135</v>
      </c>
      <c r="D34" s="84">
        <f>SUM(E31:E33)</f>
        <v>1.3783590082759802</v>
      </c>
      <c r="E34" s="86">
        <f>C34*D34</f>
        <v>0.18607846611725734</v>
      </c>
      <c r="F34" s="80">
        <v>0.135</v>
      </c>
      <c r="G34" s="84">
        <f>SUM(H31:H33)</f>
        <v>3.023372948181849</v>
      </c>
      <c r="H34" s="89">
        <f>F34*G34</f>
        <v>0.40815534800454967</v>
      </c>
      <c r="I34" s="80">
        <v>0.135</v>
      </c>
      <c r="J34" s="84">
        <f>SUM(K31:K33)</f>
        <v>3.473412335019185</v>
      </c>
      <c r="K34" s="86">
        <f>I34*J34</f>
        <v>0.46891066522759</v>
      </c>
      <c r="L34" s="49">
        <f t="shared" si="2"/>
        <v>0.37162094037917065</v>
      </c>
      <c r="M34" s="245">
        <f t="shared" si="3"/>
        <v>0.03890924814405418</v>
      </c>
      <c r="N34" s="46"/>
      <c r="O34" s="107"/>
      <c r="P34" s="107"/>
      <c r="Q34" s="107"/>
    </row>
    <row r="35" spans="2:16" ht="15" customHeight="1">
      <c r="B35" s="244" t="s">
        <v>44</v>
      </c>
      <c r="C35" s="80">
        <f>C8/$L$8/C7</f>
        <v>0.008842419889606289</v>
      </c>
      <c r="D35" s="13">
        <f>'FROTA E CUSTOS'!K10*'KM, PASSAGEIROS E PESSOAL'!E14</f>
        <v>941958.08</v>
      </c>
      <c r="E35" s="87">
        <f>(C35*D35)/C11</f>
        <v>0.9794498328944707</v>
      </c>
      <c r="F35" s="80">
        <f>F8/$L$8/F7</f>
        <v>0.006352556305617118</v>
      </c>
      <c r="G35" s="13">
        <f>D35</f>
        <v>941958.08</v>
      </c>
      <c r="H35" s="90">
        <f>(F35*G35)/F11</f>
        <v>0.979449832894471</v>
      </c>
      <c r="I35" s="80">
        <f>I8/$L$8/I7</f>
        <v>0.00552947506190587</v>
      </c>
      <c r="J35" s="13">
        <f>G35</f>
        <v>941958.08</v>
      </c>
      <c r="K35" s="87">
        <f>(I35*J35)/I11</f>
        <v>0.9794498328944709</v>
      </c>
      <c r="L35" s="49">
        <f>($E35*$E$8)+($H35*$H$8)+($K35*$K$8)</f>
        <v>0.979449832894471</v>
      </c>
      <c r="M35" s="245">
        <f t="shared" si="3"/>
        <v>0.10254980936719953</v>
      </c>
      <c r="N35" s="56"/>
      <c r="P35" s="5"/>
    </row>
    <row r="36" spans="2:17" ht="15" customHeight="1">
      <c r="B36" s="244" t="s">
        <v>7</v>
      </c>
      <c r="C36" s="80">
        <f>C32+C33+C34+((C32+C33+C34)*C35)</f>
        <v>0.3379622106630181</v>
      </c>
      <c r="D36" s="84"/>
      <c r="E36" s="88">
        <f>(((D31)*0.1/12)*(C31+C32+C33)*C7)/C8</f>
        <v>0.008066845661132195</v>
      </c>
      <c r="F36" s="76"/>
      <c r="G36" s="82"/>
      <c r="H36" s="88">
        <f>(((G31)*0.1/12)*(F31+F32+F33)*F7)/F8</f>
        <v>0.02202206582465164</v>
      </c>
      <c r="I36" s="73"/>
      <c r="J36" s="82"/>
      <c r="K36" s="88">
        <f>(((J31)*0.1/12)*(I31+I32+I33)*I7)/I8</f>
        <v>0.0253001255184045</v>
      </c>
      <c r="L36" s="49">
        <f t="shared" si="2"/>
        <v>0.019684472872151748</v>
      </c>
      <c r="M36" s="245">
        <f t="shared" si="3"/>
        <v>0.0020609926846048756</v>
      </c>
      <c r="N36" s="46"/>
      <c r="O36" s="107"/>
      <c r="P36" s="107"/>
      <c r="Q36" s="107"/>
    </row>
    <row r="37" spans="2:14" ht="15" customHeight="1">
      <c r="B37" s="244" t="s">
        <v>8</v>
      </c>
      <c r="C37" s="80">
        <f>C8/$L$8/C7</f>
        <v>0.008842419889606289</v>
      </c>
      <c r="D37" s="13">
        <f>'FROTA E CUSTOS'!K35</f>
        <v>0</v>
      </c>
      <c r="E37" s="86">
        <f>D37*C37/C11</f>
        <v>0</v>
      </c>
      <c r="F37" s="80">
        <f>F8/$L$8/F7</f>
        <v>0.006352556305617118</v>
      </c>
      <c r="G37" s="13">
        <f>D37</f>
        <v>0</v>
      </c>
      <c r="H37" s="89">
        <f>G37*F37/F11</f>
        <v>0</v>
      </c>
      <c r="I37" s="80">
        <f>I8/$L$8/I7</f>
        <v>0.00552947506190587</v>
      </c>
      <c r="J37" s="13">
        <f>G37</f>
        <v>0</v>
      </c>
      <c r="K37" s="86">
        <f>J37*I37/I11</f>
        <v>0</v>
      </c>
      <c r="L37" s="49">
        <f t="shared" si="2"/>
        <v>0</v>
      </c>
      <c r="M37" s="245">
        <f t="shared" si="3"/>
        <v>0</v>
      </c>
      <c r="N37" s="46"/>
    </row>
    <row r="38" spans="2:14" ht="15" customHeight="1">
      <c r="B38" s="244" t="s">
        <v>72</v>
      </c>
      <c r="C38" s="73"/>
      <c r="D38" s="13">
        <f>'FROTA E CUSTOS'!K27</f>
        <v>2057.14</v>
      </c>
      <c r="E38" s="86">
        <f>D38/12/C12</f>
        <v>0.039357422742937076</v>
      </c>
      <c r="F38" s="76"/>
      <c r="G38" s="13">
        <f>D38</f>
        <v>2057.14</v>
      </c>
      <c r="H38" s="89">
        <f>G38/12/F12</f>
        <v>0.0326558114408513</v>
      </c>
      <c r="I38" s="73"/>
      <c r="J38" s="13">
        <f>G38</f>
        <v>2057.14</v>
      </c>
      <c r="K38" s="86">
        <f>J38/12/I12</f>
        <v>0.04605229519137512</v>
      </c>
      <c r="L38" s="49">
        <f t="shared" si="2"/>
        <v>0.034937296442741225</v>
      </c>
      <c r="M38" s="245">
        <f t="shared" si="3"/>
        <v>0.0036579852991760883</v>
      </c>
      <c r="N38" s="46"/>
    </row>
    <row r="39" spans="2:14" ht="15" customHeight="1">
      <c r="B39" s="244" t="s">
        <v>12</v>
      </c>
      <c r="C39" s="80">
        <v>0.105</v>
      </c>
      <c r="D39" s="84">
        <f>SUM(E31:E33)</f>
        <v>1.3783590082759802</v>
      </c>
      <c r="E39" s="86">
        <f>C39*D39</f>
        <v>0.1447276958689779</v>
      </c>
      <c r="F39" s="80">
        <v>0.105</v>
      </c>
      <c r="G39" s="84">
        <f>SUM(H31:H33)</f>
        <v>3.023372948181849</v>
      </c>
      <c r="H39" s="89">
        <f>F39*G39</f>
        <v>0.3174541595590942</v>
      </c>
      <c r="I39" s="80">
        <v>0.105</v>
      </c>
      <c r="J39" s="84">
        <f>SUM(K31:K33)</f>
        <v>3.473412335019185</v>
      </c>
      <c r="K39" s="86">
        <f>I39*J39</f>
        <v>0.3647082951770144</v>
      </c>
      <c r="L39" s="49">
        <f>($E39*$E$8)+($H39*$H$8)+($K39*$K$8)</f>
        <v>0.28903850918379936</v>
      </c>
      <c r="M39" s="245">
        <f t="shared" si="3"/>
        <v>0.03026274855648658</v>
      </c>
      <c r="N39" s="46"/>
    </row>
    <row r="40" spans="2:14" ht="15" customHeight="1">
      <c r="B40" s="244" t="s">
        <v>10</v>
      </c>
      <c r="C40" s="80">
        <v>0.0033</v>
      </c>
      <c r="D40" s="13">
        <f>'FROTA E CUSTOS'!F5</f>
        <v>707000</v>
      </c>
      <c r="E40" s="86">
        <f>C40*D40/$C$12</f>
        <v>0.5356454281276714</v>
      </c>
      <c r="F40" s="80">
        <f>C40</f>
        <v>0.0033</v>
      </c>
      <c r="G40" s="13">
        <f>D40</f>
        <v>707000</v>
      </c>
      <c r="H40" s="86">
        <f>F40*G40/$F$12</f>
        <v>0.4444380470321913</v>
      </c>
      <c r="I40" s="80">
        <f>F40</f>
        <v>0.0033</v>
      </c>
      <c r="J40" s="13">
        <f>G40</f>
        <v>707000</v>
      </c>
      <c r="K40" s="86">
        <f>I40*J40/$I$12</f>
        <v>0.6267610949823383</v>
      </c>
      <c r="L40" s="49">
        <f t="shared" si="2"/>
        <v>0.47548853066233443</v>
      </c>
      <c r="M40" s="245">
        <f t="shared" si="3"/>
        <v>0.049784334570370896</v>
      </c>
      <c r="N40" s="46"/>
    </row>
    <row r="41" spans="2:16" ht="15" customHeight="1">
      <c r="B41" s="244" t="s">
        <v>11</v>
      </c>
      <c r="C41" s="80">
        <v>0.3778</v>
      </c>
      <c r="D41" s="13">
        <f>G41</f>
        <v>2482.97</v>
      </c>
      <c r="E41" s="86">
        <f>C41*D41/$C$12</f>
        <v>0.21536616498847475</v>
      </c>
      <c r="F41" s="80">
        <f>C41</f>
        <v>0.3778</v>
      </c>
      <c r="G41" s="66">
        <f>G31</f>
        <v>2482.97</v>
      </c>
      <c r="H41" s="86">
        <f>F41*G41/$F$12</f>
        <v>0.17869454818062264</v>
      </c>
      <c r="I41" s="80">
        <f>F41</f>
        <v>0.3778</v>
      </c>
      <c r="J41" s="66">
        <f>J31</f>
        <v>2482.97</v>
      </c>
      <c r="K41" s="86">
        <f>I41*J41/$I$12</f>
        <v>0.25200090638718203</v>
      </c>
      <c r="L41" s="49">
        <f t="shared" si="2"/>
        <v>0.1911789702055362</v>
      </c>
      <c r="M41" s="245">
        <f t="shared" si="3"/>
        <v>0.02001671376231436</v>
      </c>
      <c r="P41" s="5"/>
    </row>
    <row r="42" spans="2:16" ht="9.75" customHeight="1">
      <c r="B42" s="233"/>
      <c r="C42" s="235"/>
      <c r="D42" s="235"/>
      <c r="E42" s="235"/>
      <c r="F42" s="235"/>
      <c r="G42" s="235"/>
      <c r="H42" s="235"/>
      <c r="I42" s="235"/>
      <c r="J42" s="235"/>
      <c r="K42" s="235"/>
      <c r="L42" s="234"/>
      <c r="M42" s="249"/>
      <c r="P42" s="5"/>
    </row>
    <row r="43" spans="2:14" s="107" customFormat="1" ht="15" customHeight="1">
      <c r="B43" s="252" t="s">
        <v>82</v>
      </c>
      <c r="C43" s="116"/>
      <c r="D43" s="117"/>
      <c r="E43" s="118">
        <f>E19+E29</f>
        <v>5.81979170764555</v>
      </c>
      <c r="F43" s="119"/>
      <c r="G43" s="120"/>
      <c r="H43" s="118">
        <f>H19+H29</f>
        <v>8.262547464847255</v>
      </c>
      <c r="I43" s="119"/>
      <c r="J43" s="120"/>
      <c r="K43" s="118">
        <f>K19+K29</f>
        <v>12.112738404922965</v>
      </c>
      <c r="L43" s="121">
        <f>(E43*$E$8)+(H43*$H$8)+(K43*$K$8)</f>
        <v>8.107003637909855</v>
      </c>
      <c r="M43" s="253">
        <f>L43/$L$52</f>
        <v>0.8488149670208003</v>
      </c>
      <c r="N43" s="5"/>
    </row>
    <row r="44" spans="2:16" ht="9.75" customHeight="1">
      <c r="B44" s="233"/>
      <c r="C44" s="235"/>
      <c r="D44" s="235"/>
      <c r="E44" s="235"/>
      <c r="F44" s="235"/>
      <c r="G44" s="235"/>
      <c r="H44" s="235"/>
      <c r="I44" s="235"/>
      <c r="J44" s="235"/>
      <c r="K44" s="235"/>
      <c r="L44" s="234"/>
      <c r="M44" s="249"/>
      <c r="N44" s="107"/>
      <c r="P44" s="5"/>
    </row>
    <row r="45" spans="2:14" s="107" customFormat="1" ht="15" customHeight="1">
      <c r="B45" s="250" t="s">
        <v>83</v>
      </c>
      <c r="C45" s="108"/>
      <c r="D45" s="109"/>
      <c r="E45" s="110">
        <f>E46+E47+E48+E49+E50</f>
        <v>1.1930696271984067</v>
      </c>
      <c r="F45" s="112"/>
      <c r="G45" s="113"/>
      <c r="H45" s="111">
        <f>H46+H47+H48+H49+H50</f>
        <v>1.4713832025854445</v>
      </c>
      <c r="I45" s="114"/>
      <c r="J45" s="113"/>
      <c r="K45" s="110">
        <f>K46+K47+K48+K49+K50</f>
        <v>1.7847727504122937</v>
      </c>
      <c r="L45" s="115">
        <f>L46+L47+L48+L49+L50</f>
        <v>1.4439632428510862</v>
      </c>
      <c r="M45" s="251">
        <f aca="true" t="shared" si="4" ref="M45:M50">L45/$L$52</f>
        <v>0.1511850329791996</v>
      </c>
      <c r="N45" s="5"/>
    </row>
    <row r="46" spans="2:16" ht="15" customHeight="1">
      <c r="B46" s="242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0.6273895692819906</v>
      </c>
      <c r="F46" s="55">
        <f>1/120</f>
        <v>0.008333333333333333</v>
      </c>
      <c r="G46" s="81">
        <f>'FROTA E CUSTOS'!H5</f>
        <v>695450.18</v>
      </c>
      <c r="H46" s="106">
        <f>F46*G46*0.9/F13</f>
        <v>0.8831869467157744</v>
      </c>
      <c r="I46" s="55">
        <f>1/120</f>
        <v>0.008333333333333333</v>
      </c>
      <c r="J46" s="81">
        <f>'FROTA E CUSTOS'!H6</f>
        <v>1538775.9</v>
      </c>
      <c r="K46" s="106">
        <f>I46*J46*0.9/I13</f>
        <v>1.5501556963103273</v>
      </c>
      <c r="L46" s="63">
        <f>(E46*$E$8)+(H46*$H$8)+(K46*$K$8)</f>
        <v>0.8873195414906031</v>
      </c>
      <c r="M46" s="243">
        <f t="shared" si="4"/>
        <v>0.09290363505269623</v>
      </c>
      <c r="P46" s="5"/>
    </row>
    <row r="47" spans="2:16" ht="15" customHeight="1">
      <c r="B47" s="244" t="s">
        <v>76</v>
      </c>
      <c r="C47" s="54">
        <v>0.0001</v>
      </c>
      <c r="D47" s="13">
        <f>'FROTA E CUSTOS'!F5</f>
        <v>707000</v>
      </c>
      <c r="E47" s="135">
        <f>C47*D47/$C$12</f>
        <v>0.016231679640232467</v>
      </c>
      <c r="F47" s="54">
        <v>0.0001</v>
      </c>
      <c r="G47" s="13">
        <f>D47</f>
        <v>707000</v>
      </c>
      <c r="H47" s="135">
        <f>F47*G47/$F$12</f>
        <v>0.013467819607036101</v>
      </c>
      <c r="I47" s="54">
        <v>0.0001</v>
      </c>
      <c r="J47" s="13">
        <f>G47</f>
        <v>707000</v>
      </c>
      <c r="K47" s="135">
        <f>I47*J47/$I$12</f>
        <v>0.018992760454010254</v>
      </c>
      <c r="L47" s="105">
        <f>(E47*$E$8)+(H47*$H$8)+(K47*$K$8)</f>
        <v>0.014408743353404075</v>
      </c>
      <c r="M47" s="245">
        <f t="shared" si="4"/>
        <v>0.0015086161991021483</v>
      </c>
      <c r="P47" s="5"/>
    </row>
    <row r="48" spans="2:16" ht="15" customHeight="1">
      <c r="B48" s="244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0.4358266207945562</v>
      </c>
      <c r="F48" s="53">
        <f>((10-'FROTA E CUSTOS'!D29)/10)*0.01</f>
        <v>0.00408</v>
      </c>
      <c r="G48" s="81">
        <f>G46</f>
        <v>695450.18</v>
      </c>
      <c r="H48" s="88">
        <f>F48*G48/F13</f>
        <v>0.48045369901338125</v>
      </c>
      <c r="I48" s="54">
        <f>((10-'FROTA E CUSTOS'!F29)/10)*0.01</f>
        <v>0.00040000000000000034</v>
      </c>
      <c r="J48" s="81">
        <f>J46</f>
        <v>1538775.9</v>
      </c>
      <c r="K48" s="88">
        <f>I48*J48/I13</f>
        <v>0.08267497046988417</v>
      </c>
      <c r="L48" s="105">
        <f>(E48*$E$8)+(H48*$H$8)+(K48*$K$8)</f>
        <v>0.4413737545332505</v>
      </c>
      <c r="M48" s="245">
        <f t="shared" si="4"/>
        <v>0.04621246833368618</v>
      </c>
      <c r="N48" s="107"/>
      <c r="P48" s="5"/>
    </row>
    <row r="49" spans="2:17" ht="15" customHeight="1">
      <c r="B49" s="244" t="s">
        <v>79</v>
      </c>
      <c r="C49" s="54">
        <v>0.0004</v>
      </c>
      <c r="D49" s="13">
        <f>'FROTA E CUSTOS'!F5</f>
        <v>707000</v>
      </c>
      <c r="E49" s="88">
        <f>C49*D49/$C$12</f>
        <v>0.06492671856092987</v>
      </c>
      <c r="F49" s="54">
        <v>0.0004</v>
      </c>
      <c r="G49" s="13">
        <f>D49</f>
        <v>707000</v>
      </c>
      <c r="H49" s="88">
        <f>F49*G49/$F$12</f>
        <v>0.053871278428144403</v>
      </c>
      <c r="I49" s="54">
        <v>0.0004</v>
      </c>
      <c r="J49" s="13">
        <f>G49</f>
        <v>707000</v>
      </c>
      <c r="K49" s="88">
        <f>I49*J49/$I$12</f>
        <v>0.07597104181604102</v>
      </c>
      <c r="L49" s="105">
        <f>(E49*$E$8)+(H49*$H$8)+(K49*$K$8)</f>
        <v>0.0576349734136163</v>
      </c>
      <c r="M49" s="245">
        <f t="shared" si="4"/>
        <v>0.006034464796408593</v>
      </c>
      <c r="N49" s="46"/>
      <c r="O49" s="107"/>
      <c r="P49" s="107"/>
      <c r="Q49" s="107"/>
    </row>
    <row r="50" spans="2:16" ht="15" customHeight="1">
      <c r="B50" s="244" t="s">
        <v>80</v>
      </c>
      <c r="C50" s="54">
        <v>0.0003</v>
      </c>
      <c r="D50" s="13">
        <f>'FROTA E CUSTOS'!F5</f>
        <v>707000</v>
      </c>
      <c r="E50" s="88">
        <f>C50*D50/$C$12</f>
        <v>0.0486950389206974</v>
      </c>
      <c r="F50" s="54">
        <v>0.0003</v>
      </c>
      <c r="G50" s="13">
        <f>D50</f>
        <v>707000</v>
      </c>
      <c r="H50" s="88">
        <f>F50*G50/$F$12</f>
        <v>0.0404034588211083</v>
      </c>
      <c r="I50" s="54">
        <v>0.0003</v>
      </c>
      <c r="J50" s="13">
        <f>G50</f>
        <v>707000</v>
      </c>
      <c r="K50" s="88">
        <f>I50*J50/$I$12</f>
        <v>0.05697828136203076</v>
      </c>
      <c r="L50" s="49">
        <f>(E50*$E$8)+(H50*$H$8)+(K50*$K$8)</f>
        <v>0.04322623006021223</v>
      </c>
      <c r="M50" s="245">
        <f t="shared" si="4"/>
        <v>0.0045258485973064455</v>
      </c>
      <c r="N50" s="46"/>
      <c r="P50" s="5"/>
    </row>
    <row r="51" spans="2:14" ht="9.7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5"/>
      <c r="L51" s="234"/>
      <c r="M51" s="249"/>
      <c r="N51" s="46"/>
    </row>
    <row r="52" spans="2:17" s="107" customFormat="1" ht="15" customHeight="1">
      <c r="B52" s="252" t="s">
        <v>81</v>
      </c>
      <c r="C52" s="116"/>
      <c r="D52" s="117"/>
      <c r="E52" s="118">
        <f>E43+E45</f>
        <v>7.012861334843956</v>
      </c>
      <c r="F52" s="119"/>
      <c r="G52" s="120"/>
      <c r="H52" s="118">
        <f>H43+H45</f>
        <v>9.7339306674327</v>
      </c>
      <c r="I52" s="119"/>
      <c r="J52" s="120"/>
      <c r="K52" s="118">
        <f>K43+K45</f>
        <v>13.897511155335259</v>
      </c>
      <c r="L52" s="121">
        <f>(E52*$E$8)+(H52*$H$8)+(K52*$K$8)</f>
        <v>9.550966880760942</v>
      </c>
      <c r="M52" s="253">
        <f>L52/L52</f>
        <v>1</v>
      </c>
      <c r="O52" s="5"/>
      <c r="P52" s="130"/>
      <c r="Q52" s="5"/>
    </row>
    <row r="53" spans="2:14" ht="9.75" customHeight="1"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122"/>
      <c r="M53" s="254"/>
      <c r="N53" s="46"/>
    </row>
    <row r="54" spans="2:14" ht="15" customHeight="1">
      <c r="B54" s="255" t="s">
        <v>84</v>
      </c>
      <c r="C54" s="498"/>
      <c r="D54" s="499"/>
      <c r="E54" s="499"/>
      <c r="F54" s="499"/>
      <c r="G54" s="499"/>
      <c r="H54" s="499"/>
      <c r="I54" s="499"/>
      <c r="J54" s="499"/>
      <c r="K54" s="500"/>
      <c r="L54" s="123">
        <f>(L52/0.95)-L52</f>
        <v>0.5026824674084711</v>
      </c>
      <c r="M54" s="256">
        <f>L54/$L$52</f>
        <v>0.05263157894736847</v>
      </c>
      <c r="N54" s="46"/>
    </row>
    <row r="55" spans="2:14" ht="15" customHeight="1">
      <c r="B55" s="257" t="s">
        <v>9</v>
      </c>
      <c r="C55" s="124" t="s">
        <v>97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0.4189020561737262</v>
      </c>
      <c r="M55" s="258">
        <f>L55/$L$52</f>
        <v>0.04385964912280709</v>
      </c>
      <c r="N55" s="46"/>
    </row>
    <row r="56" spans="2:14" ht="9.75" customHeight="1">
      <c r="B56" s="259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3"/>
      <c r="N56" s="46"/>
    </row>
    <row r="57" spans="2:17" s="107" customFormat="1" ht="15" customHeight="1">
      <c r="B57" s="237" t="s">
        <v>98</v>
      </c>
      <c r="C57" s="524"/>
      <c r="D57" s="525"/>
      <c r="E57" s="525"/>
      <c r="F57" s="525"/>
      <c r="G57" s="525"/>
      <c r="H57" s="525"/>
      <c r="I57" s="525"/>
      <c r="J57" s="525"/>
      <c r="K57" s="526"/>
      <c r="L57" s="527">
        <f>(L52+L54)/(1-D55-G55-J55)</f>
        <v>10.47255140434314</v>
      </c>
      <c r="M57" s="528"/>
      <c r="O57" s="5"/>
      <c r="P57" s="130"/>
      <c r="Q57" s="5"/>
    </row>
    <row r="58" spans="2:17" s="107" customFormat="1" ht="15" customHeight="1">
      <c r="B58" s="264" t="s">
        <v>62</v>
      </c>
      <c r="C58" s="517"/>
      <c r="D58" s="518"/>
      <c r="E58" s="518"/>
      <c r="F58" s="518"/>
      <c r="G58" s="518"/>
      <c r="H58" s="518"/>
      <c r="I58" s="518"/>
      <c r="J58" s="518"/>
      <c r="K58" s="519"/>
      <c r="L58" s="520">
        <f>L14/L8</f>
        <v>1.8411377712398729</v>
      </c>
      <c r="M58" s="521"/>
      <c r="O58" s="5"/>
      <c r="P58" s="130"/>
      <c r="Q58" s="5"/>
    </row>
    <row r="59" spans="2:14" ht="9.75" customHeight="1" thickBot="1">
      <c r="B59" s="233"/>
      <c r="C59" s="235"/>
      <c r="D59" s="235"/>
      <c r="E59" s="235"/>
      <c r="F59" s="235"/>
      <c r="G59" s="235"/>
      <c r="H59" s="235"/>
      <c r="I59" s="235"/>
      <c r="J59" s="235"/>
      <c r="K59" s="235"/>
      <c r="L59" s="234"/>
      <c r="M59" s="239"/>
      <c r="N59" s="46"/>
    </row>
    <row r="60" spans="2:14" ht="19.5" customHeight="1" thickBot="1">
      <c r="B60" s="265" t="s">
        <v>85</v>
      </c>
      <c r="C60" s="515"/>
      <c r="D60" s="515"/>
      <c r="E60" s="515"/>
      <c r="F60" s="515"/>
      <c r="G60" s="515"/>
      <c r="H60" s="515"/>
      <c r="I60" s="515"/>
      <c r="J60" s="515"/>
      <c r="K60" s="515"/>
      <c r="L60" s="392">
        <f>L57/L58</f>
        <v>5.6880867732622935</v>
      </c>
      <c r="M60" s="393"/>
      <c r="N60" s="46"/>
    </row>
    <row r="61" ht="11.25">
      <c r="N61" s="132"/>
    </row>
    <row r="62" spans="9:14" ht="11.25">
      <c r="I62" s="478"/>
      <c r="J62" s="478"/>
      <c r="K62" s="478"/>
      <c r="L62" s="478"/>
      <c r="M62" s="478"/>
      <c r="N62" s="140"/>
    </row>
    <row r="63" spans="11:13" ht="11.25">
      <c r="K63" s="192"/>
      <c r="L63" s="130"/>
      <c r="M63" s="182"/>
    </row>
    <row r="64" spans="11:13" ht="11.25">
      <c r="K64" s="192"/>
      <c r="L64" s="130"/>
      <c r="M64" s="148"/>
    </row>
    <row r="65" spans="11:12" ht="11.25">
      <c r="K65" s="132"/>
      <c r="L65" s="171"/>
    </row>
  </sheetData>
  <sheetProtection/>
  <mergeCells count="53"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  <mergeCell ref="I10:J10"/>
    <mergeCell ref="F10:G10"/>
    <mergeCell ref="L9:M9"/>
    <mergeCell ref="I9:J9"/>
    <mergeCell ref="F9:G9"/>
    <mergeCell ref="B16:B17"/>
    <mergeCell ref="L16:M16"/>
    <mergeCell ref="C54:K54"/>
    <mergeCell ref="C16:E16"/>
    <mergeCell ref="F16:H16"/>
    <mergeCell ref="L11:M11"/>
    <mergeCell ref="L13:M13"/>
    <mergeCell ref="F13:H13"/>
    <mergeCell ref="I12:K12"/>
    <mergeCell ref="F12:H12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C6:E6"/>
    <mergeCell ref="I6:K6"/>
    <mergeCell ref="L6:M6"/>
    <mergeCell ref="I8:J8"/>
    <mergeCell ref="I7:K7"/>
    <mergeCell ref="C8:D8"/>
    <mergeCell ref="F8:G8"/>
    <mergeCell ref="F6:H6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24.25390625" style="0" bestFit="1" customWidth="1"/>
    <col min="2" max="2" width="16.50390625" style="0" bestFit="1" customWidth="1"/>
    <col min="3" max="3" width="7.125" style="0" bestFit="1" customWidth="1"/>
    <col min="4" max="4" width="11.125" style="0" customWidth="1"/>
    <col min="5" max="5" width="16.125" style="0" bestFit="1" customWidth="1"/>
    <col min="6" max="6" width="3.25390625" style="0" hidden="1" customWidth="1"/>
  </cols>
  <sheetData>
    <row r="1" spans="1:6" ht="16.5" thickBot="1">
      <c r="A1" s="401" t="s">
        <v>154</v>
      </c>
      <c r="B1" s="394" t="s">
        <v>144</v>
      </c>
      <c r="C1" s="395" t="s">
        <v>145</v>
      </c>
      <c r="D1" s="396" t="s">
        <v>146</v>
      </c>
      <c r="E1" s="397" t="s">
        <v>147</v>
      </c>
      <c r="F1" s="366" t="s">
        <v>148</v>
      </c>
    </row>
    <row r="2" spans="1:6" ht="15.75">
      <c r="A2" s="367" t="s">
        <v>74</v>
      </c>
      <c r="B2" s="364"/>
      <c r="C2" s="365"/>
      <c r="D2" s="364"/>
      <c r="E2" s="364"/>
      <c r="F2" s="364"/>
    </row>
    <row r="3" spans="1:6" ht="15.75">
      <c r="A3" s="368" t="s">
        <v>149</v>
      </c>
      <c r="B3" s="398">
        <f>'TÁRIFA '!L21</f>
        <v>1.91294035150973</v>
      </c>
      <c r="C3" s="369">
        <f>B3/$B$42</f>
        <v>0.18266230239905074</v>
      </c>
      <c r="D3" s="370">
        <f>C3*'TÁRIFA '!L60</f>
        <v>1.0389990262496778</v>
      </c>
      <c r="E3" s="371">
        <f>D3*'TÁRIFA '!$L$14</f>
        <v>1839716.093817307</v>
      </c>
      <c r="F3" s="371">
        <f>E3*'[1]TÁRIFA '!$T$17</f>
        <v>22076593.125807684</v>
      </c>
    </row>
    <row r="4" spans="1:6" ht="15.75">
      <c r="A4" s="368" t="s">
        <v>118</v>
      </c>
      <c r="B4" s="398">
        <f>'TÁRIFA '!L22</f>
        <v>0.016500655889050305</v>
      </c>
      <c r="C4" s="369">
        <f aca="true" t="shared" si="0" ref="C4:C9">B4/$B$42</f>
        <v>0.0015756099208266681</v>
      </c>
      <c r="D4" s="370">
        <f>C4*'TÁRIFA '!$L$60</f>
        <v>0.00896220595047502</v>
      </c>
      <c r="E4" s="371">
        <f>D4*'TÁRIFA '!$L$14</f>
        <v>15869.03751268</v>
      </c>
      <c r="F4" s="371">
        <f>E4*'[1]TÁRIFA '!$T$17</f>
        <v>190428.45015216002</v>
      </c>
    </row>
    <row r="5" spans="1:6" ht="15.75">
      <c r="A5" s="368" t="s">
        <v>0</v>
      </c>
      <c r="B5" s="398">
        <f>'TÁRIFA '!L23</f>
        <v>0.09647205036993904</v>
      </c>
      <c r="C5" s="369">
        <f t="shared" si="0"/>
        <v>0.009211895615993873</v>
      </c>
      <c r="D5" s="370">
        <f>C5*'TÁRIFA '!$L$60</f>
        <v>0.05239806161000766</v>
      </c>
      <c r="E5" s="371">
        <f>D5*'TÁRIFA '!$L$14</f>
        <v>92779.25656649937</v>
      </c>
      <c r="F5" s="371">
        <f>E5*'[1]TÁRIFA '!$T$17</f>
        <v>1113351.0787979926</v>
      </c>
    </row>
    <row r="6" spans="1:6" ht="15.75">
      <c r="A6" s="372" t="s">
        <v>55</v>
      </c>
      <c r="B6" s="398">
        <f>'TÁRIFA '!L24</f>
        <v>0.10148302682635216</v>
      </c>
      <c r="C6" s="369">
        <f t="shared" si="0"/>
        <v>0.009690382305907371</v>
      </c>
      <c r="D6" s="370">
        <f>C6*'TÁRIFA '!$L$60</f>
        <v>0.05511973542208668</v>
      </c>
      <c r="E6" s="371">
        <f>D6*'TÁRIFA '!$L$14</f>
        <v>97598.42096194284</v>
      </c>
      <c r="F6" s="371">
        <f>E6*'[1]TÁRIFA '!$T$17</f>
        <v>1171181.051543314</v>
      </c>
    </row>
    <row r="7" spans="1:6" ht="15.75">
      <c r="A7" s="372" t="s">
        <v>56</v>
      </c>
      <c r="B7" s="398">
        <f>'TÁRIFA '!L25</f>
        <v>0.015647750888186183</v>
      </c>
      <c r="C7" s="369">
        <f t="shared" si="0"/>
        <v>0.0014941679714932507</v>
      </c>
      <c r="D7" s="370">
        <f>C7*'TÁRIFA '!$L$60</f>
        <v>0.008498957075682911</v>
      </c>
      <c r="E7" s="371">
        <f>D7*'TÁRIFA '!$L$14</f>
        <v>15048.780333542854</v>
      </c>
      <c r="F7" s="371">
        <f>E7*'[1]TÁRIFA '!$T$17</f>
        <v>180585.36400251425</v>
      </c>
    </row>
    <row r="8" spans="1:6" ht="15.75">
      <c r="A8" s="372" t="s">
        <v>57</v>
      </c>
      <c r="B8" s="398">
        <f>'TÁRIFA '!L26</f>
        <v>0.07183001503966546</v>
      </c>
      <c r="C8" s="369">
        <f t="shared" si="0"/>
        <v>0.006858883978347089</v>
      </c>
      <c r="D8" s="370">
        <f>C8*'TÁRIFA '!$L$60</f>
        <v>0.039013927236576734</v>
      </c>
      <c r="E8" s="371">
        <f>D8*'TÁRIFA '!$L$14</f>
        <v>69080.47842857143</v>
      </c>
      <c r="F8" s="371">
        <f>E8*'[1]TÁRIFA '!$T$17</f>
        <v>828965.7411428571</v>
      </c>
    </row>
    <row r="9" spans="1:6" ht="15.75">
      <c r="A9" s="372" t="s">
        <v>58</v>
      </c>
      <c r="B9" s="398">
        <f>'TÁRIFA '!L27</f>
        <v>0.010782476370716448</v>
      </c>
      <c r="C9" s="369">
        <f t="shared" si="0"/>
        <v>0.0010295940267473671</v>
      </c>
      <c r="D9" s="370">
        <f>C9*'TÁRIFA '!$L$60</f>
        <v>0.005856420165371563</v>
      </c>
      <c r="E9" s="371">
        <f>D9*'TÁRIFA '!$L$14</f>
        <v>10369.740642857143</v>
      </c>
      <c r="F9" s="371">
        <f>E9*'[1]TÁRIFA '!$T$17</f>
        <v>124436.88771428572</v>
      </c>
    </row>
    <row r="10" spans="1:6" ht="15.75">
      <c r="A10" s="373" t="s">
        <v>150</v>
      </c>
      <c r="B10" s="399">
        <f>SUM(B3:B9)</f>
        <v>2.22565632689364</v>
      </c>
      <c r="C10" s="374">
        <f>SUM(C3:C9)</f>
        <v>0.21252283621836635</v>
      </c>
      <c r="D10" s="375">
        <f>SUM(D3:D9)</f>
        <v>1.2088483337098783</v>
      </c>
      <c r="E10" s="376">
        <f>SUM(E3:E9)</f>
        <v>2140461.8082634006</v>
      </c>
      <c r="F10" s="376">
        <f>SUM(F3:F9)</f>
        <v>25685541.699160807</v>
      </c>
    </row>
    <row r="11" spans="1:6" ht="15.75">
      <c r="A11" s="9"/>
      <c r="B11" s="364"/>
      <c r="C11" s="365"/>
      <c r="D11" s="377"/>
      <c r="E11" s="378"/>
      <c r="F11" s="379"/>
    </row>
    <row r="12" spans="1:6" ht="15.75">
      <c r="A12" s="367" t="s">
        <v>75</v>
      </c>
      <c r="B12" s="364" t="s">
        <v>106</v>
      </c>
      <c r="C12" s="365" t="s">
        <v>106</v>
      </c>
      <c r="D12" s="377" t="s">
        <v>106</v>
      </c>
      <c r="E12" s="378" t="s">
        <v>106</v>
      </c>
      <c r="F12" s="380"/>
    </row>
    <row r="13" spans="1:6" ht="15.75">
      <c r="A13" s="381" t="s">
        <v>3</v>
      </c>
      <c r="B13" s="400">
        <f>'TÁRIFA '!L30</f>
        <v>0.7672010518636361</v>
      </c>
      <c r="C13" s="382">
        <f>B13/$B$42</f>
        <v>0.07325827510815226</v>
      </c>
      <c r="D13" s="383">
        <f>C13*'TÁRIFA '!$L$60</f>
        <v>0.4166994256746912</v>
      </c>
      <c r="E13" s="384">
        <f>D13*'TÁRIFA '!$L$14</f>
        <v>737833.838464</v>
      </c>
      <c r="F13" s="384">
        <f>E13*'[1]TÁRIFA '!$T$17</f>
        <v>8854006.061568</v>
      </c>
    </row>
    <row r="14" spans="1:6" ht="15.75">
      <c r="A14" s="385" t="s">
        <v>4</v>
      </c>
      <c r="B14" s="400">
        <f>'TÁRIFA '!L31</f>
        <v>1.7293710744753614</v>
      </c>
      <c r="C14" s="382">
        <f aca="true" t="shared" si="1" ref="C14:C24">B14/$B$42</f>
        <v>0.16513369165780964</v>
      </c>
      <c r="D14" s="383">
        <f>C14*'TÁRIFA '!$L$60</f>
        <v>0.9392947673387609</v>
      </c>
      <c r="E14" s="384">
        <f>D14*'TÁRIFA '!$L$14</f>
        <v>1663173.5513255852</v>
      </c>
      <c r="F14" s="384">
        <f>E14*'[1]TÁRIFA '!$T$17</f>
        <v>19958082.61590702</v>
      </c>
    </row>
    <row r="15" spans="1:6" ht="15.75">
      <c r="A15" s="385" t="s">
        <v>5</v>
      </c>
      <c r="B15" s="400">
        <f>'TÁRIFA '!L32</f>
        <v>0.9123553109329483</v>
      </c>
      <c r="C15" s="382">
        <f t="shared" si="1"/>
        <v>0.08711872357624137</v>
      </c>
      <c r="D15" s="383">
        <f>C15*'TÁRIFA '!$L$60</f>
        <v>0.49553885927751246</v>
      </c>
      <c r="E15" s="384">
        <f>D15*'TÁRIFA '!$L$14</f>
        <v>877431.8276460387</v>
      </c>
      <c r="F15" s="384">
        <f>E15*'[1]TÁRIFA '!$T$17</f>
        <v>10529181.931752466</v>
      </c>
    </row>
    <row r="16" spans="1:6" ht="15.75">
      <c r="A16" s="385" t="s">
        <v>59</v>
      </c>
      <c r="B16" s="400">
        <f>'TÁRIFA '!L33</f>
        <v>0.11102132110406543</v>
      </c>
      <c r="C16" s="382">
        <f t="shared" si="1"/>
        <v>0.010601172228003872</v>
      </c>
      <c r="D16" s="383">
        <f>C16*'TÁRIFA '!$L$60</f>
        <v>0.06030038753118438</v>
      </c>
      <c r="E16" s="384">
        <f>D16*'TÁRIFA '!$L$14</f>
        <v>106771.604786742</v>
      </c>
      <c r="F16" s="384">
        <f>E16*'[1]TÁRIFA '!$T$17</f>
        <v>1281259.257440904</v>
      </c>
    </row>
    <row r="17" spans="1:6" ht="15.75">
      <c r="A17" s="381" t="s">
        <v>6</v>
      </c>
      <c r="B17" s="400">
        <f>'TÁRIFA '!L34</f>
        <v>0.37162094037917065</v>
      </c>
      <c r="C17" s="382">
        <f t="shared" si="1"/>
        <v>0.03548523430737741</v>
      </c>
      <c r="D17" s="383">
        <f>C17*'TÁRIFA '!$L$60</f>
        <v>0.20184309190990682</v>
      </c>
      <c r="E17" s="384">
        <f>D17*'TÁRIFA '!$L$14</f>
        <v>357395.8928073794</v>
      </c>
      <c r="F17" s="384">
        <f>E17*'[1]TÁRIFA '!$T$17</f>
        <v>4288750.713688553</v>
      </c>
    </row>
    <row r="18" spans="1:6" ht="15.75">
      <c r="A18" s="381" t="s">
        <v>44</v>
      </c>
      <c r="B18" s="400">
        <f>'TÁRIFA '!L35</f>
        <v>0.979449832894471</v>
      </c>
      <c r="C18" s="382">
        <f t="shared" si="1"/>
        <v>0.09352542614288596</v>
      </c>
      <c r="D18" s="383">
        <f>C18*'TÁRIFA '!$L$60</f>
        <v>0.5319807394070691</v>
      </c>
      <c r="E18" s="384">
        <f>D18*'TÁRIFA '!$L$14</f>
        <v>941958.0799999998</v>
      </c>
      <c r="F18" s="384">
        <f>E18*'[1]TÁRIFA '!$T$17</f>
        <v>11303496.959999997</v>
      </c>
    </row>
    <row r="19" spans="1:6" ht="15.75">
      <c r="A19" s="381" t="s">
        <v>7</v>
      </c>
      <c r="B19" s="400">
        <f>'TÁRIFA '!L36</f>
        <v>0.019684472872151748</v>
      </c>
      <c r="C19" s="382">
        <f t="shared" si="1"/>
        <v>0.0018796253283596463</v>
      </c>
      <c r="D19" s="383">
        <f>C19*'TÁRIFA '!$L$60</f>
        <v>0.010691471968931299</v>
      </c>
      <c r="E19" s="384">
        <f>D19*'TÁRIFA '!$L$14</f>
        <v>18930.983139451833</v>
      </c>
      <c r="F19" s="384">
        <f>E19*'[1]TÁRIFA '!$T$17</f>
        <v>227171.797673422</v>
      </c>
    </row>
    <row r="20" spans="1:6" ht="15.75">
      <c r="A20" s="381" t="s">
        <v>8</v>
      </c>
      <c r="B20" s="400">
        <f>'TÁRIFA '!L37</f>
        <v>0</v>
      </c>
      <c r="C20" s="382">
        <f t="shared" si="1"/>
        <v>0</v>
      </c>
      <c r="D20" s="383">
        <f>C20*'TÁRIFA '!$L$60</f>
        <v>0</v>
      </c>
      <c r="E20" s="384">
        <f>D20*'TÁRIFA '!$L$14</f>
        <v>0</v>
      </c>
      <c r="F20" s="384">
        <f>E20*'[1]TÁRIFA '!$T$17</f>
        <v>0</v>
      </c>
    </row>
    <row r="21" spans="1:6" ht="15.75">
      <c r="A21" s="381" t="s">
        <v>72</v>
      </c>
      <c r="B21" s="400">
        <f>'TÁRIFA '!L38</f>
        <v>0.034937296442741225</v>
      </c>
      <c r="C21" s="382">
        <f t="shared" si="1"/>
        <v>0.003336082592848592</v>
      </c>
      <c r="D21" s="383">
        <f>C21*'TÁRIFA '!$L$60</f>
        <v>0.018975927270892652</v>
      </c>
      <c r="E21" s="384">
        <f>D21*'TÁRIFA '!$L$14</f>
        <v>33599.953333333324</v>
      </c>
      <c r="F21" s="384">
        <f>E21*'[1]TÁRIFA '!$T$17</f>
        <v>403199.4399999999</v>
      </c>
    </row>
    <row r="22" spans="1:6" ht="15.75">
      <c r="A22" s="381" t="s">
        <v>12</v>
      </c>
      <c r="B22" s="400">
        <f>'TÁRIFA '!L39</f>
        <v>0.28903850918379936</v>
      </c>
      <c r="C22" s="382">
        <f t="shared" si="1"/>
        <v>0.02759962668351576</v>
      </c>
      <c r="D22" s="383">
        <f>C22*'TÁRIFA '!$L$60</f>
        <v>0.15698907148548305</v>
      </c>
      <c r="E22" s="384">
        <f>D22*'TÁRIFA '!$L$14</f>
        <v>277974.58329462836</v>
      </c>
      <c r="F22" s="384">
        <f>E22*'[1]TÁRIFA '!$T$17</f>
        <v>3335694.99953554</v>
      </c>
    </row>
    <row r="23" spans="1:6" ht="15.75">
      <c r="A23" s="381" t="s">
        <v>10</v>
      </c>
      <c r="B23" s="400">
        <f>'TÁRIFA '!L40</f>
        <v>0.47548853066233443</v>
      </c>
      <c r="C23" s="382">
        <f t="shared" si="1"/>
        <v>0.045403313128178246</v>
      </c>
      <c r="D23" s="383">
        <f>C23*'TÁRIFA '!$L$60</f>
        <v>0.25825798486667695</v>
      </c>
      <c r="E23" s="384">
        <f>D23*'TÁRIFA '!$L$14</f>
        <v>457287.5999999999</v>
      </c>
      <c r="F23" s="384">
        <f>E23*'[1]TÁRIFA '!$T$17</f>
        <v>5487451.199999999</v>
      </c>
    </row>
    <row r="24" spans="1:6" ht="15.75">
      <c r="A24" s="381" t="s">
        <v>11</v>
      </c>
      <c r="B24" s="400">
        <f>'TÁRIFA '!L41</f>
        <v>0.1911789702055362</v>
      </c>
      <c r="C24" s="382">
        <f t="shared" si="1"/>
        <v>0.018255242951230693</v>
      </c>
      <c r="D24" s="383">
        <f>C24*'TÁRIFA '!$L$60</f>
        <v>0.10383740597358503</v>
      </c>
      <c r="E24" s="384">
        <f>D24*'TÁRIFA '!$L$14</f>
        <v>183860.948936</v>
      </c>
      <c r="F24" s="384">
        <f>E24*'[1]TÁRIFA '!$T$17</f>
        <v>2206331.387232</v>
      </c>
    </row>
    <row r="25" spans="1:6" ht="15.75">
      <c r="A25" s="373" t="s">
        <v>151</v>
      </c>
      <c r="B25" s="399">
        <f>SUM(B13:B24)</f>
        <v>5.881347311016215</v>
      </c>
      <c r="C25" s="374">
        <f>SUM(C13:C24)</f>
        <v>0.5615964137046034</v>
      </c>
      <c r="D25" s="375">
        <f>SUM(D13:D24)</f>
        <v>3.1944091327046946</v>
      </c>
      <c r="E25" s="376">
        <f>SUM(E13:E24)</f>
        <v>5656218.8637331575</v>
      </c>
      <c r="F25" s="376">
        <f>SUM(F13:F24)</f>
        <v>67874626.36479789</v>
      </c>
    </row>
    <row r="26" spans="1:6" ht="15.75">
      <c r="A26" s="9"/>
      <c r="B26" s="364"/>
      <c r="C26" s="365"/>
      <c r="D26" s="377"/>
      <c r="E26" s="378"/>
      <c r="F26" s="379"/>
    </row>
    <row r="27" spans="1:6" ht="15.75">
      <c r="A27" s="367" t="s">
        <v>82</v>
      </c>
      <c r="B27" s="364">
        <f>B25+B10</f>
        <v>8.107003637909855</v>
      </c>
      <c r="C27" s="365">
        <f>C25+C10</f>
        <v>0.7741192499229698</v>
      </c>
      <c r="D27" s="364">
        <f>D25+D10</f>
        <v>4.403257466414573</v>
      </c>
      <c r="E27" s="386">
        <f>E25+E10</f>
        <v>7796680.671996558</v>
      </c>
      <c r="F27" s="386">
        <f>F25+F10</f>
        <v>93560168.0639587</v>
      </c>
    </row>
    <row r="28" spans="1:6" ht="15.75">
      <c r="A28" s="9"/>
      <c r="B28" s="364" t="s">
        <v>106</v>
      </c>
      <c r="C28" s="365" t="s">
        <v>106</v>
      </c>
      <c r="D28" s="377" t="s">
        <v>106</v>
      </c>
      <c r="E28" s="378"/>
      <c r="F28" s="379"/>
    </row>
    <row r="29" spans="1:6" ht="15.75">
      <c r="A29" s="367" t="s">
        <v>83</v>
      </c>
      <c r="B29" s="364" t="s">
        <v>106</v>
      </c>
      <c r="C29" s="365" t="s">
        <v>106</v>
      </c>
      <c r="D29" s="377" t="s">
        <v>106</v>
      </c>
      <c r="E29" s="378"/>
      <c r="F29" s="380"/>
    </row>
    <row r="30" spans="1:6" ht="15.75">
      <c r="A30" s="368" t="s">
        <v>77</v>
      </c>
      <c r="B30" s="398">
        <f>'TÁRIFA '!L46</f>
        <v>0.8873195414906031</v>
      </c>
      <c r="C30" s="369">
        <f>B30/$B$42</f>
        <v>0.08472811516805896</v>
      </c>
      <c r="D30" s="370">
        <f>C30*'TÁRIFA '!$L$60</f>
        <v>0.4819408712108805</v>
      </c>
      <c r="E30" s="371">
        <f>D30*'TÁRIFA '!$L$14</f>
        <v>853354.3869</v>
      </c>
      <c r="F30" s="371">
        <f>E30*'[1]TÁRIFA '!$T$17</f>
        <v>10240252.6428</v>
      </c>
    </row>
    <row r="31" spans="1:6" ht="15.75">
      <c r="A31" s="368" t="s">
        <v>76</v>
      </c>
      <c r="B31" s="398">
        <f>'TÁRIFA '!L47</f>
        <v>0.014408743353404075</v>
      </c>
      <c r="C31" s="369">
        <f>B31/$B$42</f>
        <v>0.0013758579735811591</v>
      </c>
      <c r="D31" s="370">
        <f>C31*'TÁRIFA '!$L$60</f>
        <v>0.007825999541414453</v>
      </c>
      <c r="E31" s="371">
        <f>D31*'TÁRIFA '!$L$14</f>
        <v>13857.199999999999</v>
      </c>
      <c r="F31" s="371">
        <f>E31*'[1]TÁRIFA '!$T$17</f>
        <v>166286.4</v>
      </c>
    </row>
    <row r="32" spans="1:6" ht="15.75">
      <c r="A32" s="368" t="s">
        <v>78</v>
      </c>
      <c r="B32" s="398">
        <f>'TÁRIFA '!L48</f>
        <v>0.4413737545332505</v>
      </c>
      <c r="C32" s="369">
        <f>B32/$B$42</f>
        <v>0.04214577112032179</v>
      </c>
      <c r="D32" s="370">
        <f>C32*'TÁRIFA '!$L$60</f>
        <v>0.23972880325844234</v>
      </c>
      <c r="E32" s="371">
        <f>D32*'TÁRIFA '!$L$14</f>
        <v>424478.6822352</v>
      </c>
      <c r="F32" s="371">
        <f>E32*'[1]TÁRIFA '!$T$17</f>
        <v>5093744.1868224</v>
      </c>
    </row>
    <row r="33" spans="1:6" ht="15.75">
      <c r="A33" s="368" t="s">
        <v>79</v>
      </c>
      <c r="B33" s="398">
        <f>'TÁRIFA '!L49</f>
        <v>0.0576349734136163</v>
      </c>
      <c r="C33" s="369">
        <f>B33/$B$42</f>
        <v>0.0055034318943246365</v>
      </c>
      <c r="D33" s="370">
        <f>C33*'TÁRIFA '!$L$60</f>
        <v>0.03130399816565781</v>
      </c>
      <c r="E33" s="371">
        <f>D33*'TÁRIFA '!$L$14</f>
        <v>55428.799999999996</v>
      </c>
      <c r="F33" s="371">
        <f>E33*'[1]TÁRIFA '!$T$17</f>
        <v>665145.6</v>
      </c>
    </row>
    <row r="34" spans="1:6" ht="15.75">
      <c r="A34" s="368" t="s">
        <v>80</v>
      </c>
      <c r="B34" s="398">
        <f>'TÁRIFA '!L50</f>
        <v>0.04322623006021223</v>
      </c>
      <c r="C34" s="369">
        <f>B34/$B$42</f>
        <v>0.004127573920743478</v>
      </c>
      <c r="D34" s="370">
        <f>C34*'TÁRIFA '!$L$60</f>
        <v>0.023477998624243362</v>
      </c>
      <c r="E34" s="371">
        <f>D34*'TÁRIFA '!$L$14</f>
        <v>41571.6</v>
      </c>
      <c r="F34" s="371">
        <f>E34*'[1]TÁRIFA '!$T$17</f>
        <v>498859.19999999995</v>
      </c>
    </row>
    <row r="35" spans="1:6" ht="15.75">
      <c r="A35" s="373" t="s">
        <v>152</v>
      </c>
      <c r="B35" s="399">
        <f>SUM(B30:B34)</f>
        <v>1.4439632428510862</v>
      </c>
      <c r="C35" s="374">
        <f>SUM(C30:C34)</f>
        <v>0.13788075007703002</v>
      </c>
      <c r="D35" s="375">
        <f>SUM(D30:D34)</f>
        <v>0.7842776708006384</v>
      </c>
      <c r="E35" s="376">
        <f>SUM(E30:E34)</f>
        <v>1388690.6691352</v>
      </c>
      <c r="F35" s="376">
        <f>SUM(F30:F34)</f>
        <v>16664288.0296224</v>
      </c>
    </row>
    <row r="36" spans="1:6" ht="15.75">
      <c r="A36" s="9"/>
      <c r="B36" s="364"/>
      <c r="C36" s="365"/>
      <c r="D36" s="377"/>
      <c r="E36" s="378"/>
      <c r="F36" s="379"/>
    </row>
    <row r="37" spans="1:6" ht="15.75">
      <c r="A37" s="367" t="s">
        <v>81</v>
      </c>
      <c r="B37" s="364">
        <f>B27+B35</f>
        <v>9.550966880760942</v>
      </c>
      <c r="C37" s="365">
        <f>C35+C27</f>
        <v>0.9119999999999998</v>
      </c>
      <c r="D37" s="364">
        <f>D27+D35</f>
        <v>5.187535137215211</v>
      </c>
      <c r="E37" s="386">
        <f>E27+E35</f>
        <v>9185371.341131758</v>
      </c>
      <c r="F37" s="386">
        <f>F27+F35</f>
        <v>110224456.09358111</v>
      </c>
    </row>
    <row r="38" spans="1:6" ht="15.75">
      <c r="A38" s="9"/>
      <c r="B38" s="364" t="s">
        <v>106</v>
      </c>
      <c r="C38" s="365" t="s">
        <v>106</v>
      </c>
      <c r="D38" s="377" t="s">
        <v>106</v>
      </c>
      <c r="E38" s="378"/>
      <c r="F38" s="379"/>
    </row>
    <row r="39" spans="1:6" ht="15.75">
      <c r="A39" s="387" t="s">
        <v>84</v>
      </c>
      <c r="B39" s="400">
        <f>'TÁRIFA '!L54</f>
        <v>0.5026824674084711</v>
      </c>
      <c r="C39" s="382">
        <f>B39/B42</f>
        <v>0.04800000000000004</v>
      </c>
      <c r="D39" s="383">
        <f>C39*'TÁRIFA '!L60</f>
        <v>0.27302816511659034</v>
      </c>
      <c r="E39" s="384">
        <f>D39*'TÁRIFA '!L14</f>
        <v>483440.5969016721</v>
      </c>
      <c r="F39" s="384">
        <f>E39*'[1]TÁRIFA '!$T$17</f>
        <v>5801287.162820065</v>
      </c>
    </row>
    <row r="40" spans="1:6" ht="15.75">
      <c r="A40" s="388" t="s">
        <v>9</v>
      </c>
      <c r="B40" s="400">
        <f>'TÁRIFA '!L55</f>
        <v>0.4189020561737262</v>
      </c>
      <c r="C40" s="382">
        <f>B40/B42</f>
        <v>0.04000000000000006</v>
      </c>
      <c r="D40" s="383">
        <f>C40*'TÁRIFA '!L60</f>
        <v>0.2275234709304921</v>
      </c>
      <c r="E40" s="384">
        <f>D40*'TÁRIFA '!L14</f>
        <v>402867.164084727</v>
      </c>
      <c r="F40" s="384">
        <f>E40*'[1]TÁRIFA '!$T$17</f>
        <v>4834405.969016724</v>
      </c>
    </row>
    <row r="41" spans="1:6" ht="16.5" thickBot="1">
      <c r="A41" s="389"/>
      <c r="B41" s="364" t="s">
        <v>106</v>
      </c>
      <c r="C41" s="390"/>
      <c r="D41" s="377" t="s">
        <v>106</v>
      </c>
      <c r="E41" s="378"/>
      <c r="F41" s="379"/>
    </row>
    <row r="42" spans="1:6" ht="16.5" thickBot="1">
      <c r="A42" s="404" t="s">
        <v>153</v>
      </c>
      <c r="B42" s="405">
        <f>B37+B39+B40</f>
        <v>10.47255140434314</v>
      </c>
      <c r="C42" s="406">
        <f>C37+C39+C40</f>
        <v>0.9999999999999999</v>
      </c>
      <c r="D42" s="407">
        <f>C42*'TÁRIFA '!L60</f>
        <v>5.688086773262293</v>
      </c>
      <c r="E42" s="408">
        <f>D42*'TÁRIFA '!L14</f>
        <v>10071679.102118157</v>
      </c>
      <c r="F42" s="391">
        <f>F37+F39+F40</f>
        <v>120860149.22541791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2024-03-28T11:30:50Z</dcterms:modified>
  <cp:category/>
  <cp:version/>
  <cp:contentType/>
  <cp:contentStatus/>
</cp:coreProperties>
</file>