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75" windowWidth="11415" windowHeight="7140" tabRatio="799" firstSheet="1" activeTab="2"/>
  </bookViews>
  <sheets>
    <sheet name="Km, Passageiros e Pessoal" sheetId="1" r:id="rId1"/>
    <sheet name="Informações da Frota e Custos" sheetId="2" r:id="rId2"/>
    <sheet name="Cálculo da Tarifa" sheetId="3" r:id="rId3"/>
    <sheet name="REMUNERAÇÃO" sheetId="4" r:id="rId4"/>
    <sheet name="PASSAGEIROS GRAFICO" sheetId="5" r:id="rId5"/>
    <sheet name="FROTA TIPO DE COMBUSTIVEL" sheetId="6" r:id="rId6"/>
  </sheets>
  <definedNames>
    <definedName name="_xlfn.AVERAGEIF" hidden="1">#NAME?</definedName>
    <definedName name="_xlnm.Print_Area" localSheetId="2">'Cálculo da Tarifa'!$A$1:$M$61</definedName>
    <definedName name="_xlnm.Print_Area" localSheetId="1">'Informações da Frota e Custos'!$J$2:$Q$36</definedName>
    <definedName name="_xlnm.Print_Area" localSheetId="0">'Km, Passageiros e Pessoal'!$N$4:$R$7</definedName>
    <definedName name="_xlnm.Print_Area" localSheetId="3">'REMUNERAÇÃO'!$A$1:$F$45</definedName>
  </definedNames>
  <calcPr fullCalcOnLoad="1"/>
  <pivotCaches>
    <pivotCache cacheId="1" r:id="rId7"/>
  </pivotCaches>
</workbook>
</file>

<file path=xl/comments1.xml><?xml version="1.0" encoding="utf-8"?>
<comments xmlns="http://schemas.openxmlformats.org/spreadsheetml/2006/main">
  <authors>
    <author>Jo???o Ney Mar???a</author>
  </authors>
  <commentList>
    <comment ref="N13" authorId="0">
      <text>
        <r>
          <rPr>
            <sz val="9"/>
            <rFont val="Calibri"/>
            <family val="2"/>
          </rPr>
          <t>1/11</t>
        </r>
      </text>
    </comment>
    <comment ref="Q13" authorId="0">
      <text>
        <r>
          <rPr>
            <sz val="9"/>
            <rFont val="Calibri"/>
            <family val="2"/>
          </rPr>
          <t>1/11</t>
        </r>
      </text>
    </comment>
    <comment ref="N15" authorId="0">
      <text>
        <r>
          <rPr>
            <sz val="9"/>
            <rFont val="Calibri"/>
            <family val="2"/>
          </rPr>
          <t>10% da tripulação estimada</t>
        </r>
      </text>
    </comment>
    <comment ref="Q15" authorId="0">
      <text>
        <r>
          <rPr>
            <sz val="9"/>
            <rFont val="Calibri"/>
            <family val="2"/>
          </rPr>
          <t>10% da tripulação estimada</t>
        </r>
      </text>
    </comment>
    <comment ref="N17" authorId="0">
      <text>
        <r>
          <rPr>
            <sz val="9"/>
            <rFont val="Calibri"/>
            <family val="2"/>
          </rPr>
          <t>5% da Tripulação Total</t>
        </r>
      </text>
    </comment>
    <comment ref="Q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18" authorId="0">
      <text>
        <r>
          <rPr>
            <b/>
            <sz val="9"/>
            <rFont val="Tahoma"/>
            <family val="2"/>
          </rPr>
          <t>0,3368 litros / km</t>
        </r>
      </text>
    </comment>
    <comment ref="D18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18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18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19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19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19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19" authorId="0">
      <text>
        <r>
          <rPr>
            <b/>
            <sz val="9"/>
            <rFont val="Tahoma"/>
            <family val="2"/>
          </rPr>
          <t>0,3065 litros / km</t>
        </r>
      </text>
    </comment>
    <comment ref="C20" authorId="0">
      <text>
        <r>
          <rPr>
            <b/>
            <sz val="9"/>
            <rFont val="Tahoma"/>
            <family val="2"/>
          </rPr>
          <t>0,0019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18" authorId="0">
      <text>
        <r>
          <rPr>
            <b/>
            <sz val="9"/>
            <rFont val="Tahoma"/>
            <family val="2"/>
          </rPr>
          <t>0,3982 litros / km</t>
        </r>
      </text>
    </comment>
    <comment ref="F19" authorId="0">
      <text>
        <r>
          <rPr>
            <b/>
            <sz val="9"/>
            <rFont val="Tahoma"/>
            <family val="2"/>
          </rPr>
          <t>0,3969 litros / km</t>
        </r>
      </text>
    </comment>
    <comment ref="F20" authorId="0">
      <text>
        <r>
          <rPr>
            <b/>
            <sz val="9"/>
            <rFont val="Tahoma"/>
            <family val="2"/>
          </rPr>
          <t>0,0068 litros / km</t>
        </r>
      </text>
    </comment>
    <comment ref="I18" authorId="0">
      <text>
        <r>
          <rPr>
            <b/>
            <sz val="9"/>
            <rFont val="Tahoma"/>
            <family val="2"/>
          </rPr>
          <t>0,7938 litros / km</t>
        </r>
      </text>
    </comment>
    <comment ref="I19" authorId="0">
      <text>
        <r>
          <rPr>
            <b/>
            <sz val="9"/>
            <rFont val="Tahoma"/>
            <family val="2"/>
          </rPr>
          <t>0,6718 litros / km</t>
        </r>
      </text>
    </comment>
    <comment ref="I20" authorId="0">
      <text>
        <r>
          <rPr>
            <b/>
            <sz val="9"/>
            <rFont val="Tahoma"/>
            <family val="2"/>
          </rPr>
          <t>0,0276 litros / km</t>
        </r>
      </text>
    </comment>
    <comment ref="C21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1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1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1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2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2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3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2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2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3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4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28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28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28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2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2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2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29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29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29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0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0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29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29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29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0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0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1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1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1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29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29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29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2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2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2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2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2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2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3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3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3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3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3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3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4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4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4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5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5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5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6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6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6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8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8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8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8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8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8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39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39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39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3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3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3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0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0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I40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D40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40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0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5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5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5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5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5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5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8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8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8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49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6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6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6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7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7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3" authorId="0">
      <text>
        <r>
          <rPr>
            <b/>
            <sz val="9"/>
            <rFont val="Tahoma"/>
            <family val="2"/>
          </rPr>
          <t>margem operador 5%</t>
        </r>
      </text>
    </comment>
    <comment ref="L57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2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1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1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</commentList>
</comments>
</file>

<file path=xl/sharedStrings.xml><?xml version="1.0" encoding="utf-8"?>
<sst xmlns="http://schemas.openxmlformats.org/spreadsheetml/2006/main" count="471" uniqueCount="202">
  <si>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</si>
  <si>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</si>
  <si>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</si>
  <si>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</si>
  <si>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</si>
  <si>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</si>
  <si>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</si>
  <si>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</si>
  <si>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</si>
  <si>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</si>
  <si>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</si>
  <si>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</si>
  <si>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</si>
  <si>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</si>
  <si>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</si>
  <si>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</si>
  <si>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</si>
  <si>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</si>
  <si>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</si>
  <si>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</si>
  <si>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</si>
  <si>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</si>
  <si>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</si>
  <si>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</si>
  <si>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</si>
  <si>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</si>
  <si>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</si>
  <si>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</si>
  <si>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</si>
  <si>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</si>
  <si>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</si>
  <si>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</si>
  <si>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</si>
  <si>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</si>
  <si>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KM PERCORRIDA/DIA</t>
  </si>
  <si>
    <t>KM PERCORRIDA NO PERÍODO</t>
  </si>
  <si>
    <t>TOTAL MÉDIO MENSAL</t>
  </si>
  <si>
    <t>Média mensal</t>
  </si>
  <si>
    <t>PASSAGEIROS EQUIVALENTES TRANSPORTADOS</t>
  </si>
  <si>
    <t>PREÇOS MÉDIOS (conforme modelo de chassi e carroceria)</t>
  </si>
  <si>
    <t>CHASSI</t>
  </si>
  <si>
    <t>CAROCERIA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</si>
  <si>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</si>
  <si>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</si>
  <si>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</si>
  <si>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</si>
  <si>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</si>
  <si>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</si>
  <si>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</si>
  <si>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</si>
  <si>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DOMINGOS E FERIADOS</t>
  </si>
  <si>
    <t>MÊS</t>
  </si>
  <si>
    <t>T0TAL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</si>
  <si>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</si>
  <si>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</si>
  <si>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</si>
  <si>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</si>
  <si>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</si>
  <si>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</si>
  <si>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</si>
  <si>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</si>
  <si>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</si>
  <si>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</si>
  <si>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</si>
  <si>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</si>
  <si>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</si>
  <si>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</si>
  <si>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</si>
  <si>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</si>
  <si>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</si>
  <si>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TOTAL</t>
  </si>
  <si>
    <t>FROTA OPERANTE</t>
  </si>
  <si>
    <t>KM MENSAL PROGRAMADA</t>
  </si>
  <si>
    <t>PMM FROTA OPERANTE</t>
  </si>
  <si>
    <t>PMM FROTA TOTAL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</si>
  <si>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</si>
  <si>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</si>
  <si>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</si>
  <si>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</si>
  <si>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</si>
  <si>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</si>
  <si>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</si>
  <si>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</si>
  <si>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</si>
  <si>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</si>
  <si>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</si>
  <si>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</si>
  <si>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</si>
  <si>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</si>
  <si>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</si>
  <si>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</si>
  <si>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</si>
  <si>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</si>
  <si>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</si>
  <si>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</si>
  <si>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CUSTO POR LITRO SEM ICMS</t>
  </si>
  <si>
    <t>MOTORISTA PLENO</t>
  </si>
  <si>
    <t>MOTORISTA JUNIOR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</si>
  <si>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</si>
  <si>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</si>
  <si>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</si>
  <si>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</si>
  <si>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</si>
  <si>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</si>
  <si>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</si>
  <si>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</si>
  <si>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</si>
  <si>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</si>
  <si>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</si>
  <si>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</si>
  <si>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</si>
  <si>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ATUAL APÓS DISSÍDIO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</si>
  <si>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</si>
  <si>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</si>
  <si>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</si>
  <si>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</si>
  <si>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</si>
  <si>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</si>
  <si>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</si>
  <si>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Quilometragem Diária Considerada - ATUAL</t>
  </si>
  <si>
    <t>CUSTO POR LITRO COM ICMS</t>
  </si>
  <si>
    <t xml:space="preserve">COMPOSIÇÃO DO CUSTO DO DIESEL S500 </t>
  </si>
  <si>
    <t xml:space="preserve">COMPOSIÇÃO DO CUSTO DO DIESEL S10 </t>
  </si>
  <si>
    <t xml:space="preserve">ARLA 32 </t>
  </si>
  <si>
    <t>KM MENSAL S500</t>
  </si>
  <si>
    <t>KM MENSAL S10</t>
  </si>
  <si>
    <t>PORCENTAGEM / KM</t>
  </si>
  <si>
    <t>S10</t>
  </si>
  <si>
    <t>S500</t>
  </si>
  <si>
    <t>COMUM</t>
  </si>
  <si>
    <t>MID BUS</t>
  </si>
  <si>
    <t>COMPOSIÇÃO KM /TIPO DE COMBUSTIVEL - % CATEGORIA</t>
  </si>
  <si>
    <t>Combustível S500</t>
  </si>
  <si>
    <t>Combustível S10</t>
  </si>
  <si>
    <t>Arla</t>
  </si>
  <si>
    <t>Combustível s500</t>
  </si>
  <si>
    <t>Combustível s10</t>
  </si>
  <si>
    <t>R$/tarifa</t>
  </si>
  <si>
    <t>Remuneração Mês</t>
  </si>
  <si>
    <t>Remuneração Ano</t>
  </si>
  <si>
    <t>Custo KM</t>
  </si>
  <si>
    <t xml:space="preserve">% </t>
  </si>
  <si>
    <t>Subtotal A)</t>
  </si>
  <si>
    <t>Subtotal B)</t>
  </si>
  <si>
    <t>Subtotal D)</t>
  </si>
  <si>
    <t>DISTRIBUIÇÃO DA FROTA (JAN/2016)</t>
  </si>
  <si>
    <t>ADEQUAÇÕES BANHEIROS</t>
  </si>
  <si>
    <t>REAJUSTE</t>
  </si>
  <si>
    <t>ATUAL</t>
  </si>
  <si>
    <t>atual</t>
  </si>
  <si>
    <t>FATORES DE UTILIZAÇÃO DE MOTORISTAS E COBRADORES 2016</t>
  </si>
  <si>
    <t>FATORES DE UTILIZAÇÃO DE MOTORISTAS E COBRADORES 2017</t>
  </si>
  <si>
    <t>motoristas</t>
  </si>
  <si>
    <t>cobradores</t>
  </si>
  <si>
    <t>jan.17</t>
  </si>
  <si>
    <t>plano de saude</t>
  </si>
  <si>
    <t>2017 jan</t>
  </si>
  <si>
    <t>2017 dez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</si>
  <si>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</si>
  <si>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</si>
  <si>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</si>
  <si>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</si>
  <si>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</si>
  <si>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</si>
  <si>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</si>
  <si>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</si>
  <si>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</si>
  <si>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</si>
  <si>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</si>
  <si>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</si>
  <si>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ATUALIZADO</t>
  </si>
  <si>
    <t>PASSADO</t>
  </si>
  <si>
    <t>PERCA</t>
  </si>
  <si>
    <t>jan.18</t>
  </si>
  <si>
    <t>SALÁRIOS DATA BASE 2018</t>
  </si>
  <si>
    <t>VALE ALIMENTAÇÃO DATA BASE/2018</t>
  </si>
  <si>
    <t>diferença</t>
  </si>
  <si>
    <t>TIPO</t>
  </si>
  <si>
    <t xml:space="preserve"> COMB.</t>
  </si>
  <si>
    <t>s500</t>
  </si>
  <si>
    <t>(vazio)</t>
  </si>
  <si>
    <t>Contagem de PREFIXO</t>
  </si>
  <si>
    <t>Total</t>
  </si>
  <si>
    <t>ARTICULADO Total</t>
  </si>
  <si>
    <t>COMUM Total</t>
  </si>
  <si>
    <t>MID BUS Total</t>
  </si>
  <si>
    <t>(vazio) Total</t>
  </si>
  <si>
    <t>Dom</t>
  </si>
  <si>
    <t>Util</t>
  </si>
  <si>
    <t>Art</t>
  </si>
  <si>
    <t xml:space="preserve">VCG </t>
  </si>
  <si>
    <t>Mid</t>
  </si>
  <si>
    <t>Sab</t>
  </si>
  <si>
    <t>AMTT</t>
  </si>
  <si>
    <t>MÉDIA</t>
  </si>
  <si>
    <t>DIFERENÇA</t>
  </si>
  <si>
    <t>TOTAL GERAL</t>
  </si>
  <si>
    <t>AMTT redução gal carneiro</t>
  </si>
  <si>
    <t>Agrupar1</t>
  </si>
  <si>
    <t>Total geral</t>
  </si>
  <si>
    <t>Rótulos de Linha</t>
  </si>
  <si>
    <t>AMTT -  PLANILHA DE  CUSTOS  DO SISTEMA DE TRANSPORTE PÚBLICO DE PONTA GROSSA  - FEV./2018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</si>
</sst>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</numFmts>
  <fonts count="82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b/>
      <sz val="10"/>
      <color indexed="8"/>
      <name val="Courier"/>
      <family val="3"/>
    </font>
    <font>
      <b/>
      <sz val="8"/>
      <color indexed="8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ourier"/>
      <family val="3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2" fillId="3" borderId="0" applyNumberFormat="0" applyBorder="0" applyAlignment="0" applyProtection="0"/>
    <xf numFmtId="0" fontId="14" fillId="4" borderId="0" applyNumberFormat="0" applyBorder="0" applyAlignment="0" applyProtection="0"/>
    <xf numFmtId="0" fontId="62" fillId="5" borderId="0" applyNumberFormat="0" applyBorder="0" applyAlignment="0" applyProtection="0"/>
    <xf numFmtId="0" fontId="14" fillId="6" borderId="0" applyNumberFormat="0" applyBorder="0" applyAlignment="0" applyProtection="0"/>
    <xf numFmtId="0" fontId="62" fillId="7" borderId="0" applyNumberFormat="0" applyBorder="0" applyAlignment="0" applyProtection="0"/>
    <xf numFmtId="0" fontId="14" fillId="8" borderId="0" applyNumberFormat="0" applyBorder="0" applyAlignment="0" applyProtection="0"/>
    <xf numFmtId="0" fontId="62" fillId="9" borderId="0" applyNumberFormat="0" applyBorder="0" applyAlignment="0" applyProtection="0"/>
    <xf numFmtId="0" fontId="14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6" borderId="0" applyNumberFormat="0" applyBorder="0" applyAlignment="0" applyProtection="0"/>
    <xf numFmtId="0" fontId="62" fillId="12" borderId="0" applyNumberFormat="0" applyBorder="0" applyAlignment="0" applyProtection="0"/>
    <xf numFmtId="0" fontId="14" fillId="10" borderId="0" applyNumberFormat="0" applyBorder="0" applyAlignment="0" applyProtection="0"/>
    <xf numFmtId="0" fontId="62" fillId="13" borderId="0" applyNumberFormat="0" applyBorder="0" applyAlignment="0" applyProtection="0"/>
    <xf numFmtId="0" fontId="14" fillId="4" borderId="0" applyNumberFormat="0" applyBorder="0" applyAlignment="0" applyProtection="0"/>
    <xf numFmtId="0" fontId="62" fillId="14" borderId="0" applyNumberFormat="0" applyBorder="0" applyAlignment="0" applyProtection="0"/>
    <xf numFmtId="0" fontId="14" fillId="15" borderId="0" applyNumberFormat="0" applyBorder="0" applyAlignment="0" applyProtection="0"/>
    <xf numFmtId="0" fontId="62" fillId="16" borderId="0" applyNumberFormat="0" applyBorder="0" applyAlignment="0" applyProtection="0"/>
    <xf numFmtId="0" fontId="14" fillId="17" borderId="0" applyNumberFormat="0" applyBorder="0" applyAlignment="0" applyProtection="0"/>
    <xf numFmtId="0" fontId="62" fillId="18" borderId="0" applyNumberFormat="0" applyBorder="0" applyAlignment="0" applyProtection="0"/>
    <xf numFmtId="0" fontId="14" fillId="10" borderId="0" applyNumberFormat="0" applyBorder="0" applyAlignment="0" applyProtection="0"/>
    <xf numFmtId="0" fontId="62" fillId="19" borderId="0" applyNumberFormat="0" applyBorder="0" applyAlignment="0" applyProtection="0"/>
    <xf numFmtId="0" fontId="14" fillId="6" borderId="0" applyNumberFormat="0" applyBorder="0" applyAlignment="0" applyProtection="0"/>
    <xf numFmtId="0" fontId="62" fillId="20" borderId="0" applyNumberFormat="0" applyBorder="0" applyAlignment="0" applyProtection="0"/>
    <xf numFmtId="0" fontId="15" fillId="10" borderId="0" applyNumberFormat="0" applyBorder="0" applyAlignment="0" applyProtection="0"/>
    <xf numFmtId="0" fontId="63" fillId="21" borderId="0" applyNumberFormat="0" applyBorder="0" applyAlignment="0" applyProtection="0"/>
    <xf numFmtId="0" fontId="15" fillId="22" borderId="0" applyNumberFormat="0" applyBorder="0" applyAlignment="0" applyProtection="0"/>
    <xf numFmtId="0" fontId="63" fillId="23" borderId="0" applyNumberFormat="0" applyBorder="0" applyAlignment="0" applyProtection="0"/>
    <xf numFmtId="0" fontId="15" fillId="24" borderId="0" applyNumberFormat="0" applyBorder="0" applyAlignment="0" applyProtection="0"/>
    <xf numFmtId="0" fontId="63" fillId="25" borderId="0" applyNumberFormat="0" applyBorder="0" applyAlignment="0" applyProtection="0"/>
    <xf numFmtId="0" fontId="15" fillId="17" borderId="0" applyNumberFormat="0" applyBorder="0" applyAlignment="0" applyProtection="0"/>
    <xf numFmtId="0" fontId="63" fillId="26" borderId="0" applyNumberFormat="0" applyBorder="0" applyAlignment="0" applyProtection="0"/>
    <xf numFmtId="0" fontId="15" fillId="10" borderId="0" applyNumberFormat="0" applyBorder="0" applyAlignment="0" applyProtection="0"/>
    <xf numFmtId="0" fontId="63" fillId="27" borderId="0" applyNumberFormat="0" applyBorder="0" applyAlignment="0" applyProtection="0"/>
    <xf numFmtId="0" fontId="15" fillId="4" borderId="0" applyNumberFormat="0" applyBorder="0" applyAlignment="0" applyProtection="0"/>
    <xf numFmtId="0" fontId="63" fillId="28" borderId="0" applyNumberFormat="0" applyBorder="0" applyAlignment="0" applyProtection="0"/>
    <xf numFmtId="0" fontId="16" fillId="10" borderId="0" applyNumberFormat="0" applyBorder="0" applyAlignment="0" applyProtection="0"/>
    <xf numFmtId="0" fontId="64" fillId="29" borderId="0" applyNumberFormat="0" applyBorder="0" applyAlignment="0" applyProtection="0"/>
    <xf numFmtId="0" fontId="17" fillId="30" borderId="1" applyNumberFormat="0" applyAlignment="0" applyProtection="0"/>
    <xf numFmtId="0" fontId="65" fillId="31" borderId="2" applyNumberFormat="0" applyAlignment="0" applyProtection="0"/>
    <xf numFmtId="0" fontId="18" fillId="32" borderId="3" applyNumberFormat="0" applyAlignment="0" applyProtection="0"/>
    <xf numFmtId="0" fontId="66" fillId="33" borderId="4" applyNumberFormat="0" applyAlignment="0" applyProtection="0"/>
    <xf numFmtId="0" fontId="19" fillId="0" borderId="5" applyNumberFormat="0" applyFill="0" applyAlignment="0" applyProtection="0"/>
    <xf numFmtId="0" fontId="67" fillId="0" borderId="6" applyNumberFormat="0" applyFill="0" applyAlignment="0" applyProtection="0"/>
    <xf numFmtId="0" fontId="15" fillId="34" borderId="0" applyNumberFormat="0" applyBorder="0" applyAlignment="0" applyProtection="0"/>
    <xf numFmtId="0" fontId="63" fillId="35" borderId="0" applyNumberFormat="0" applyBorder="0" applyAlignment="0" applyProtection="0"/>
    <xf numFmtId="0" fontId="15" fillId="22" borderId="0" applyNumberFormat="0" applyBorder="0" applyAlignment="0" applyProtection="0"/>
    <xf numFmtId="0" fontId="63" fillId="36" borderId="0" applyNumberFormat="0" applyBorder="0" applyAlignment="0" applyProtection="0"/>
    <xf numFmtId="0" fontId="15" fillId="24" borderId="0" applyNumberFormat="0" applyBorder="0" applyAlignment="0" applyProtection="0"/>
    <xf numFmtId="0" fontId="63" fillId="37" borderId="0" applyNumberFormat="0" applyBorder="0" applyAlignment="0" applyProtection="0"/>
    <xf numFmtId="0" fontId="15" fillId="38" borderId="0" applyNumberFormat="0" applyBorder="0" applyAlignment="0" applyProtection="0"/>
    <xf numFmtId="0" fontId="63" fillId="39" borderId="0" applyNumberFormat="0" applyBorder="0" applyAlignment="0" applyProtection="0"/>
    <xf numFmtId="0" fontId="15" fillId="40" borderId="0" applyNumberFormat="0" applyBorder="0" applyAlignment="0" applyProtection="0"/>
    <xf numFmtId="0" fontId="63" fillId="41" borderId="0" applyNumberFormat="0" applyBorder="0" applyAlignment="0" applyProtection="0"/>
    <xf numFmtId="0" fontId="15" fillId="42" borderId="0" applyNumberFormat="0" applyBorder="0" applyAlignment="0" applyProtection="0"/>
    <xf numFmtId="0" fontId="63" fillId="43" borderId="0" applyNumberFormat="0" applyBorder="0" applyAlignment="0" applyProtection="0"/>
    <xf numFmtId="0" fontId="20" fillId="15" borderId="1" applyNumberFormat="0" applyAlignment="0" applyProtection="0"/>
    <xf numFmtId="0" fontId="68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69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70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2" fillId="0" borderId="0">
      <alignment/>
      <protection/>
    </xf>
    <xf numFmtId="0" fontId="0" fillId="6" borderId="7" applyNumberFormat="0" applyFont="0" applyAlignment="0" applyProtection="0"/>
    <xf numFmtId="0" fontId="62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1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4" fillId="0" borderId="12" applyNumberFormat="0" applyFill="0" applyAlignment="0" applyProtection="0"/>
    <xf numFmtId="0" fontId="27" fillId="0" borderId="13" applyNumberFormat="0" applyFill="0" applyAlignment="0" applyProtection="0"/>
    <xf numFmtId="0" fontId="75" fillId="0" borderId="14" applyNumberFormat="0" applyFill="0" applyAlignment="0" applyProtection="0"/>
    <xf numFmtId="0" fontId="28" fillId="0" borderId="15" applyNumberFormat="0" applyFill="0" applyAlignment="0" applyProtection="0"/>
    <xf numFmtId="0" fontId="7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8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55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0" fillId="0" borderId="0" xfId="0" applyFont="1" applyAlignment="1">
      <alignment/>
    </xf>
    <xf numFmtId="39" fontId="0" fillId="0" borderId="0" xfId="0" applyNumberFormat="1" applyFont="1" applyAlignment="1">
      <alignment/>
    </xf>
    <xf numFmtId="37" fontId="0" fillId="0" borderId="0" xfId="0" applyFont="1" applyBorder="1" applyAlignment="1">
      <alignment/>
    </xf>
    <xf numFmtId="37" fontId="30" fillId="0" borderId="0" xfId="0" applyFont="1" applyAlignment="1">
      <alignment vertical="center"/>
    </xf>
    <xf numFmtId="37" fontId="30" fillId="0" borderId="0" xfId="0" applyFont="1" applyFill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Fill="1" applyBorder="1" applyAlignment="1">
      <alignment vertical="center"/>
    </xf>
    <xf numFmtId="169" fontId="11" fillId="0" borderId="19" xfId="106" applyNumberFormat="1" applyFont="1" applyFill="1" applyBorder="1" applyAlignment="1">
      <alignment horizontal="right" vertical="center"/>
    </xf>
    <xf numFmtId="169" fontId="11" fillId="0" borderId="20" xfId="106" applyNumberFormat="1" applyFont="1" applyFill="1" applyBorder="1" applyAlignment="1">
      <alignment horizontal="right" vertical="center"/>
    </xf>
    <xf numFmtId="169" fontId="11" fillId="0" borderId="21" xfId="106" applyNumberFormat="1" applyFont="1" applyFill="1" applyBorder="1" applyAlignment="1">
      <alignment horizontal="right" vertical="center"/>
    </xf>
    <xf numFmtId="169" fontId="11" fillId="0" borderId="22" xfId="106" applyNumberFormat="1" applyFont="1" applyFill="1" applyBorder="1" applyAlignment="1">
      <alignment horizontal="right" vertical="center"/>
    </xf>
    <xf numFmtId="39" fontId="30" fillId="0" borderId="23" xfId="0" applyNumberFormat="1" applyFont="1" applyFill="1" applyBorder="1" applyAlignment="1">
      <alignment horizontal="center" vertical="center"/>
    </xf>
    <xf numFmtId="39" fontId="30" fillId="0" borderId="24" xfId="0" applyNumberFormat="1" applyFont="1" applyFill="1" applyBorder="1" applyAlignment="1">
      <alignment horizontal="center" vertical="center"/>
    </xf>
    <xf numFmtId="39" fontId="30" fillId="0" borderId="25" xfId="0" applyNumberFormat="1" applyFont="1" applyFill="1" applyBorder="1" applyAlignment="1">
      <alignment horizontal="center" vertical="center"/>
    </xf>
    <xf numFmtId="169" fontId="11" fillId="0" borderId="26" xfId="106" applyNumberFormat="1" applyFont="1" applyFill="1" applyBorder="1" applyAlignment="1">
      <alignment horizontal="right" vertical="center"/>
    </xf>
    <xf numFmtId="17" fontId="11" fillId="0" borderId="27" xfId="0" applyNumberFormat="1" applyFont="1" applyBorder="1" applyAlignment="1">
      <alignment horizontal="left" vertical="center" indent="1"/>
    </xf>
    <xf numFmtId="39" fontId="0" fillId="0" borderId="0" xfId="0" applyNumberFormat="1" applyFont="1" applyBorder="1" applyAlignment="1">
      <alignment/>
    </xf>
    <xf numFmtId="39" fontId="30" fillId="0" borderId="28" xfId="0" applyNumberFormat="1" applyFont="1" applyFill="1" applyBorder="1" applyAlignment="1">
      <alignment horizontal="center" vertical="center"/>
    </xf>
    <xf numFmtId="169" fontId="11" fillId="0" borderId="29" xfId="106" applyNumberFormat="1" applyFont="1" applyFill="1" applyBorder="1" applyAlignment="1">
      <alignment horizontal="right" vertical="center"/>
    </xf>
    <xf numFmtId="169" fontId="11" fillId="0" borderId="30" xfId="106" applyNumberFormat="1" applyFont="1" applyFill="1" applyBorder="1" applyAlignment="1">
      <alignment horizontal="right" vertical="center"/>
    </xf>
    <xf numFmtId="169" fontId="11" fillId="0" borderId="31" xfId="106" applyNumberFormat="1" applyFont="1" applyFill="1" applyBorder="1" applyAlignment="1">
      <alignment horizontal="right" vertical="center"/>
    </xf>
    <xf numFmtId="37" fontId="0" fillId="0" borderId="0" xfId="0" applyFont="1" applyFill="1" applyBorder="1" applyAlignment="1">
      <alignment/>
    </xf>
    <xf numFmtId="39" fontId="30" fillId="0" borderId="32" xfId="0" applyNumberFormat="1" applyFont="1" applyFill="1" applyBorder="1" applyAlignment="1">
      <alignment horizontal="center" vertical="center"/>
    </xf>
    <xf numFmtId="37" fontId="11" fillId="0" borderId="0" xfId="0" applyFont="1" applyFill="1" applyBorder="1" applyAlignment="1">
      <alignment horizontal="left" vertical="center" indent="1"/>
    </xf>
    <xf numFmtId="169" fontId="11" fillId="0" borderId="0" xfId="0" applyNumberFormat="1" applyFont="1" applyFill="1" applyBorder="1" applyAlignment="1">
      <alignment horizontal="center" vertical="center"/>
    </xf>
    <xf numFmtId="169" fontId="11" fillId="0" borderId="23" xfId="106" applyNumberFormat="1" applyFont="1" applyFill="1" applyBorder="1" applyAlignment="1">
      <alignment horizontal="right" vertical="center"/>
    </xf>
    <xf numFmtId="37" fontId="32" fillId="0" borderId="33" xfId="0" applyFont="1" applyFill="1" applyBorder="1" applyAlignment="1">
      <alignment vertical="center"/>
    </xf>
    <xf numFmtId="37" fontId="32" fillId="0" borderId="27" xfId="0" applyFont="1" applyFill="1" applyBorder="1" applyAlignment="1">
      <alignment vertical="center"/>
    </xf>
    <xf numFmtId="37" fontId="32" fillId="0" borderId="32" xfId="0" applyFont="1" applyFill="1" applyBorder="1" applyAlignment="1">
      <alignment vertical="center"/>
    </xf>
    <xf numFmtId="169" fontId="30" fillId="0" borderId="34" xfId="0" applyNumberFormat="1" applyFont="1" applyFill="1" applyBorder="1" applyAlignment="1">
      <alignment horizontal="center" vertical="center"/>
    </xf>
    <xf numFmtId="169" fontId="30" fillId="0" borderId="35" xfId="0" applyNumberFormat="1" applyFont="1" applyFill="1" applyBorder="1" applyAlignment="1">
      <alignment horizontal="center" vertical="center"/>
    </xf>
    <xf numFmtId="169" fontId="30" fillId="0" borderId="36" xfId="0" applyNumberFormat="1" applyFont="1" applyFill="1" applyBorder="1" applyAlignment="1">
      <alignment horizontal="center" vertical="center"/>
    </xf>
    <xf numFmtId="169" fontId="30" fillId="0" borderId="19" xfId="0" applyNumberFormat="1" applyFont="1" applyFill="1" applyBorder="1" applyAlignment="1">
      <alignment horizontal="center" vertical="center"/>
    </xf>
    <xf numFmtId="169" fontId="30" fillId="0" borderId="20" xfId="0" applyNumberFormat="1" applyFont="1" applyFill="1" applyBorder="1" applyAlignment="1">
      <alignment horizontal="center" vertical="center"/>
    </xf>
    <xf numFmtId="169" fontId="30" fillId="0" borderId="30" xfId="0" applyNumberFormat="1" applyFont="1" applyFill="1" applyBorder="1" applyAlignment="1">
      <alignment horizontal="center" vertical="center"/>
    </xf>
    <xf numFmtId="37" fontId="30" fillId="0" borderId="0" xfId="0" applyFont="1" applyAlignment="1">
      <alignment/>
    </xf>
    <xf numFmtId="37" fontId="30" fillId="0" borderId="0" xfId="0" applyFont="1" applyBorder="1" applyAlignment="1">
      <alignment vertical="center"/>
    </xf>
    <xf numFmtId="165" fontId="30" fillId="0" borderId="20" xfId="106" applyFont="1" applyFill="1" applyBorder="1" applyAlignment="1">
      <alignment horizontal="right" vertical="center"/>
    </xf>
    <xf numFmtId="37" fontId="30" fillId="0" borderId="37" xfId="0" applyFont="1" applyBorder="1" applyAlignment="1">
      <alignment horizontal="center" vertical="center" wrapText="1"/>
    </xf>
    <xf numFmtId="37" fontId="30" fillId="0" borderId="38" xfId="0" applyFont="1" applyBorder="1" applyAlignment="1">
      <alignment horizontal="center" vertical="center" wrapText="1"/>
    </xf>
    <xf numFmtId="37" fontId="30" fillId="0" borderId="39" xfId="0" applyFont="1" applyBorder="1" applyAlignment="1">
      <alignment horizontal="center" vertical="center" wrapText="1"/>
    </xf>
    <xf numFmtId="37" fontId="30" fillId="0" borderId="38" xfId="0" applyFont="1" applyBorder="1" applyAlignment="1">
      <alignment horizontal="center" vertical="center"/>
    </xf>
    <xf numFmtId="37" fontId="30" fillId="0" borderId="39" xfId="0" applyFont="1" applyBorder="1" applyAlignment="1">
      <alignment horizontal="center" vertical="center"/>
    </xf>
    <xf numFmtId="165" fontId="30" fillId="0" borderId="0" xfId="106" applyFont="1" applyFill="1" applyBorder="1" applyAlignment="1">
      <alignment horizontal="left" vertical="center"/>
    </xf>
    <xf numFmtId="165" fontId="30" fillId="0" borderId="0" xfId="106" applyFont="1" applyFill="1" applyBorder="1" applyAlignment="1">
      <alignment horizontal="right" vertical="center"/>
    </xf>
    <xf numFmtId="165" fontId="33" fillId="0" borderId="0" xfId="106" applyFont="1" applyFill="1" applyBorder="1" applyAlignment="1">
      <alignment horizontal="right" vertical="center"/>
    </xf>
    <xf numFmtId="37" fontId="30" fillId="0" borderId="22" xfId="0" applyFont="1" applyFill="1" applyBorder="1" applyAlignment="1">
      <alignment horizontal="right" vertical="center" indent="1"/>
    </xf>
    <xf numFmtId="37" fontId="33" fillId="0" borderId="29" xfId="0" applyFont="1" applyFill="1" applyBorder="1" applyAlignment="1">
      <alignment horizontal="right" vertical="center" indent="1"/>
    </xf>
    <xf numFmtId="37" fontId="30" fillId="0" borderId="20" xfId="0" applyFont="1" applyFill="1" applyBorder="1" applyAlignment="1">
      <alignment horizontal="right" vertical="center" indent="1"/>
    </xf>
    <xf numFmtId="37" fontId="33" fillId="0" borderId="40" xfId="0" applyFont="1" applyFill="1" applyBorder="1" applyAlignment="1">
      <alignment horizontal="right" vertical="center" indent="1"/>
    </xf>
    <xf numFmtId="37" fontId="33" fillId="0" borderId="41" xfId="0" applyFont="1" applyFill="1" applyBorder="1" applyAlignment="1">
      <alignment horizontal="right" vertical="center" indent="1"/>
    </xf>
    <xf numFmtId="37" fontId="33" fillId="0" borderId="0" xfId="0" applyFont="1" applyFill="1" applyBorder="1" applyAlignment="1">
      <alignment horizontal="right" vertical="center" indent="1"/>
    </xf>
    <xf numFmtId="37" fontId="30" fillId="0" borderId="42" xfId="0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37" fontId="30" fillId="0" borderId="37" xfId="0" applyFont="1" applyBorder="1" applyAlignment="1">
      <alignment horizontal="center" vertical="center"/>
    </xf>
    <xf numFmtId="37" fontId="30" fillId="0" borderId="21" xfId="0" applyFont="1" applyFill="1" applyBorder="1" applyAlignment="1">
      <alignment horizontal="right" vertical="center" indent="1"/>
    </xf>
    <xf numFmtId="37" fontId="30" fillId="0" borderId="19" xfId="0" applyFont="1" applyFill="1" applyBorder="1" applyAlignment="1">
      <alignment horizontal="right" vertical="center" indent="1"/>
    </xf>
    <xf numFmtId="37" fontId="33" fillId="0" borderId="45" xfId="0" applyFont="1" applyFill="1" applyBorder="1" applyAlignment="1">
      <alignment horizontal="right" vertical="center" indent="1"/>
    </xf>
    <xf numFmtId="37" fontId="30" fillId="0" borderId="0" xfId="0" applyFont="1" applyBorder="1" applyAlignment="1">
      <alignment horizontal="center" vertical="center"/>
    </xf>
    <xf numFmtId="37" fontId="30" fillId="0" borderId="0" xfId="0" applyFont="1" applyFill="1" applyBorder="1" applyAlignment="1">
      <alignment horizontal="center" vertical="center"/>
    </xf>
    <xf numFmtId="37" fontId="9" fillId="0" borderId="0" xfId="0" applyFont="1" applyBorder="1" applyAlignment="1">
      <alignment/>
    </xf>
    <xf numFmtId="39" fontId="30" fillId="0" borderId="0" xfId="0" applyNumberFormat="1" applyFont="1" applyAlignment="1">
      <alignment vertical="center"/>
    </xf>
    <xf numFmtId="37" fontId="11" fillId="0" borderId="20" xfId="0" applyFont="1" applyFill="1" applyBorder="1" applyAlignment="1">
      <alignment horizontal="center" vertical="center"/>
    </xf>
    <xf numFmtId="37" fontId="11" fillId="8" borderId="46" xfId="0" applyFont="1" applyFill="1" applyBorder="1" applyAlignment="1">
      <alignment horizontal="center" vertical="center"/>
    </xf>
    <xf numFmtId="37" fontId="11" fillId="8" borderId="47" xfId="0" applyFont="1" applyFill="1" applyBorder="1" applyAlignment="1">
      <alignment horizontal="center" vertical="center"/>
    </xf>
    <xf numFmtId="37" fontId="11" fillId="8" borderId="48" xfId="0" applyFont="1" applyFill="1" applyBorder="1" applyAlignment="1">
      <alignment horizontal="center" vertical="center"/>
    </xf>
    <xf numFmtId="37" fontId="11" fillId="8" borderId="49" xfId="0" applyFont="1" applyFill="1" applyBorder="1" applyAlignment="1">
      <alignment horizontal="center" vertical="center"/>
    </xf>
    <xf numFmtId="37" fontId="11" fillId="0" borderId="50" xfId="0" applyFont="1" applyFill="1" applyBorder="1" applyAlignment="1">
      <alignment horizontal="center" vertical="center"/>
    </xf>
    <xf numFmtId="37" fontId="11" fillId="8" borderId="51" xfId="0" applyFont="1" applyFill="1" applyBorder="1" applyAlignment="1">
      <alignment horizontal="center" vertical="center"/>
    </xf>
    <xf numFmtId="165" fontId="34" fillId="0" borderId="0" xfId="106" applyNumberFormat="1" applyFont="1" applyFill="1" applyBorder="1" applyAlignment="1">
      <alignment vertical="center"/>
    </xf>
    <xf numFmtId="4" fontId="11" fillId="0" borderId="29" xfId="106" applyNumberFormat="1" applyFont="1" applyBorder="1" applyAlignment="1">
      <alignment horizontal="right" vertical="center"/>
    </xf>
    <xf numFmtId="37" fontId="11" fillId="0" borderId="0" xfId="0" applyFont="1" applyBorder="1" applyAlignment="1">
      <alignment vertical="center"/>
    </xf>
    <xf numFmtId="4" fontId="11" fillId="0" borderId="30" xfId="106" applyNumberFormat="1" applyFont="1" applyBorder="1" applyAlignment="1">
      <alignment horizontal="right" vertical="center"/>
    </xf>
    <xf numFmtId="4" fontId="11" fillId="0" borderId="28" xfId="106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4" fontId="11" fillId="0" borderId="29" xfId="0" applyNumberFormat="1" applyFont="1" applyBorder="1" applyAlignment="1">
      <alignment horizontal="right" vertical="center"/>
    </xf>
    <xf numFmtId="4" fontId="11" fillId="0" borderId="30" xfId="0" applyNumberFormat="1" applyFont="1" applyBorder="1" applyAlignment="1">
      <alignment horizontal="right" vertical="center"/>
    </xf>
    <xf numFmtId="4" fontId="11" fillId="0" borderId="30" xfId="0" applyNumberFormat="1" applyFont="1" applyFill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168" fontId="11" fillId="0" borderId="0" xfId="0" applyNumberFormat="1" applyFont="1" applyBorder="1" applyAlignment="1">
      <alignment vertical="center"/>
    </xf>
    <xf numFmtId="37" fontId="0" fillId="0" borderId="53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55" xfId="0" applyFont="1" applyBorder="1" applyAlignment="1">
      <alignment/>
    </xf>
    <xf numFmtId="37" fontId="0" fillId="0" borderId="42" xfId="0" applyFont="1" applyBorder="1" applyAlignment="1">
      <alignment/>
    </xf>
    <xf numFmtId="37" fontId="0" fillId="0" borderId="56" xfId="0" applyFont="1" applyBorder="1" applyAlignment="1">
      <alignment/>
    </xf>
    <xf numFmtId="0" fontId="30" fillId="6" borderId="57" xfId="0" applyNumberFormat="1" applyFont="1" applyFill="1" applyBorder="1" applyAlignment="1">
      <alignment horizontal="center" vertical="center"/>
    </xf>
    <xf numFmtId="39" fontId="11" fillId="6" borderId="58" xfId="0" applyNumberFormat="1" applyFont="1" applyFill="1" applyBorder="1" applyAlignment="1">
      <alignment horizontal="right" vertical="center" indent="1"/>
    </xf>
    <xf numFmtId="37" fontId="30" fillId="15" borderId="57" xfId="0" applyFont="1" applyFill="1" applyBorder="1" applyAlignment="1">
      <alignment horizontal="center" vertical="center"/>
    </xf>
    <xf numFmtId="37" fontId="33" fillId="15" borderId="58" xfId="0" applyFont="1" applyFill="1" applyBorder="1" applyAlignment="1">
      <alignment horizontal="right" vertical="center" indent="1"/>
    </xf>
    <xf numFmtId="37" fontId="33" fillId="15" borderId="59" xfId="0" applyFont="1" applyFill="1" applyBorder="1" applyAlignment="1">
      <alignment horizontal="right" vertical="center" indent="1"/>
    </xf>
    <xf numFmtId="37" fontId="33" fillId="15" borderId="60" xfId="0" applyFont="1" applyFill="1" applyBorder="1" applyAlignment="1">
      <alignment horizontal="right" vertical="center" indent="1"/>
    </xf>
    <xf numFmtId="37" fontId="11" fillId="0" borderId="0" xfId="0" applyFont="1" applyFill="1" applyAlignment="1">
      <alignment vertical="center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37" fontId="31" fillId="0" borderId="0" xfId="0" applyFont="1" applyFill="1" applyAlignment="1">
      <alignment/>
    </xf>
    <xf numFmtId="176" fontId="31" fillId="0" borderId="0" xfId="0" applyNumberFormat="1" applyFont="1" applyAlignment="1">
      <alignment/>
    </xf>
    <xf numFmtId="39" fontId="31" fillId="0" borderId="0" xfId="0" applyNumberFormat="1" applyFont="1" applyAlignment="1">
      <alignment/>
    </xf>
    <xf numFmtId="37" fontId="31" fillId="0" borderId="0" xfId="0" applyFont="1" applyBorder="1" applyAlignment="1">
      <alignment/>
    </xf>
    <xf numFmtId="37" fontId="31" fillId="0" borderId="0" xfId="0" applyFont="1" applyFill="1" applyBorder="1" applyAlignment="1">
      <alignment horizontal="center" vertical="center"/>
    </xf>
    <xf numFmtId="37" fontId="35" fillId="0" borderId="0" xfId="0" applyFont="1" applyBorder="1" applyAlignment="1">
      <alignment horizontal="center" vertical="center"/>
    </xf>
    <xf numFmtId="37" fontId="9" fillId="0" borderId="0" xfId="0" applyFont="1" applyFill="1" applyBorder="1" applyAlignment="1">
      <alignment/>
    </xf>
    <xf numFmtId="37" fontId="31" fillId="0" borderId="0" xfId="0" applyFont="1" applyFill="1" applyBorder="1" applyAlignment="1">
      <alignment/>
    </xf>
    <xf numFmtId="171" fontId="11" fillId="0" borderId="27" xfId="0" applyNumberFormat="1" applyFont="1" applyFill="1" applyBorder="1" applyAlignment="1">
      <alignment horizontal="center" vertical="center"/>
    </xf>
    <xf numFmtId="171" fontId="11" fillId="0" borderId="61" xfId="0" applyNumberFormat="1" applyFont="1" applyFill="1" applyBorder="1" applyAlignment="1">
      <alignment horizontal="center" vertical="center"/>
    </xf>
    <xf numFmtId="171" fontId="11" fillId="0" borderId="62" xfId="0" applyNumberFormat="1" applyFont="1" applyFill="1" applyBorder="1" applyAlignment="1">
      <alignment horizontal="center" vertical="center"/>
    </xf>
    <xf numFmtId="171" fontId="11" fillId="0" borderId="30" xfId="0" applyNumberFormat="1" applyFont="1" applyFill="1" applyBorder="1" applyAlignment="1">
      <alignment horizontal="center" vertical="center"/>
    </xf>
    <xf numFmtId="171" fontId="11" fillId="0" borderId="27" xfId="106" applyNumberFormat="1" applyFont="1" applyFill="1" applyBorder="1" applyAlignment="1">
      <alignment horizontal="center" vertical="center"/>
    </xf>
    <xf numFmtId="171" fontId="11" fillId="0" borderId="19" xfId="106" applyNumberFormat="1" applyFont="1" applyFill="1" applyBorder="1" applyAlignment="1">
      <alignment horizontal="center" vertical="center"/>
    </xf>
    <xf numFmtId="171" fontId="11" fillId="0" borderId="21" xfId="106" applyNumberFormat="1" applyFont="1" applyFill="1" applyBorder="1" applyAlignment="1">
      <alignment horizontal="center" vertical="center"/>
    </xf>
    <xf numFmtId="37" fontId="11" fillId="0" borderId="63" xfId="0" applyFont="1" applyFill="1" applyBorder="1" applyAlignment="1">
      <alignment horizontal="left" vertical="center" indent="1"/>
    </xf>
    <xf numFmtId="37" fontId="36" fillId="0" borderId="43" xfId="0" applyFont="1" applyBorder="1" applyAlignment="1">
      <alignment horizontal="left" vertical="center" indent="1"/>
    </xf>
    <xf numFmtId="37" fontId="36" fillId="0" borderId="44" xfId="0" applyFont="1" applyBorder="1" applyAlignment="1">
      <alignment horizontal="left" vertical="center" indent="1"/>
    </xf>
    <xf numFmtId="37" fontId="36" fillId="0" borderId="44" xfId="0" applyFont="1" applyBorder="1" applyAlignment="1" quotePrefix="1">
      <alignment horizontal="left" vertical="center" indent="1"/>
    </xf>
    <xf numFmtId="37" fontId="36" fillId="0" borderId="44" xfId="0" applyFont="1" applyFill="1" applyBorder="1" applyAlignment="1">
      <alignment horizontal="left" vertical="center" indent="1"/>
    </xf>
    <xf numFmtId="37" fontId="37" fillId="15" borderId="64" xfId="0" applyFont="1" applyFill="1" applyBorder="1" applyAlignment="1">
      <alignment horizontal="left" vertical="center" indent="1"/>
    </xf>
    <xf numFmtId="174" fontId="31" fillId="0" borderId="0" xfId="0" applyNumberFormat="1" applyFont="1" applyBorder="1" applyAlignment="1">
      <alignment/>
    </xf>
    <xf numFmtId="37" fontId="11" fillId="0" borderId="65" xfId="0" applyFont="1" applyFill="1" applyBorder="1" applyAlignment="1">
      <alignment horizontal="center" vertical="center"/>
    </xf>
    <xf numFmtId="37" fontId="11" fillId="0" borderId="31" xfId="0" applyFont="1" applyFill="1" applyBorder="1" applyAlignment="1">
      <alignment horizontal="center" vertical="center"/>
    </xf>
    <xf numFmtId="37" fontId="36" fillId="0" borderId="66" xfId="0" applyFont="1" applyFill="1" applyBorder="1" applyAlignment="1">
      <alignment horizontal="left" vertical="center" indent="1"/>
    </xf>
    <xf numFmtId="171" fontId="11" fillId="0" borderId="65" xfId="0" applyNumberFormat="1" applyFont="1" applyFill="1" applyBorder="1" applyAlignment="1">
      <alignment horizontal="center" vertical="center"/>
    </xf>
    <xf numFmtId="37" fontId="36" fillId="0" borderId="66" xfId="0" applyFont="1" applyBorder="1" applyAlignment="1">
      <alignment horizontal="left" vertical="center" indent="1"/>
    </xf>
    <xf numFmtId="37" fontId="11" fillId="0" borderId="0" xfId="0" applyFont="1" applyAlignment="1">
      <alignment vertical="center"/>
    </xf>
    <xf numFmtId="37" fontId="30" fillId="0" borderId="67" xfId="0" applyFont="1" applyBorder="1" applyAlignment="1">
      <alignment vertical="center"/>
    </xf>
    <xf numFmtId="37" fontId="30" fillId="0" borderId="27" xfId="0" applyFont="1" applyBorder="1" applyAlignment="1">
      <alignment vertical="center"/>
    </xf>
    <xf numFmtId="37" fontId="30" fillId="0" borderId="67" xfId="0" applyFont="1" applyFill="1" applyBorder="1" applyAlignment="1">
      <alignment vertical="center"/>
    </xf>
    <xf numFmtId="37" fontId="30" fillId="0" borderId="27" xfId="0" applyFont="1" applyFill="1" applyBorder="1" applyAlignment="1">
      <alignment vertical="center"/>
    </xf>
    <xf numFmtId="9" fontId="30" fillId="6" borderId="68" xfId="86" applyFont="1" applyFill="1" applyBorder="1" applyAlignment="1">
      <alignment vertical="center"/>
    </xf>
    <xf numFmtId="37" fontId="30" fillId="0" borderId="68" xfId="0" applyFont="1" applyBorder="1" applyAlignment="1">
      <alignment vertical="center"/>
    </xf>
    <xf numFmtId="37" fontId="4" fillId="0" borderId="0" xfId="0" applyFont="1" applyAlignment="1">
      <alignment/>
    </xf>
    <xf numFmtId="37" fontId="30" fillId="6" borderId="68" xfId="0" applyFont="1" applyFill="1" applyBorder="1" applyAlignment="1">
      <alignment vertical="center"/>
    </xf>
    <xf numFmtId="39" fontId="30" fillId="6" borderId="31" xfId="0" applyNumberFormat="1" applyFont="1" applyFill="1" applyBorder="1" applyAlignment="1">
      <alignment vertical="center"/>
    </xf>
    <xf numFmtId="37" fontId="36" fillId="0" borderId="43" xfId="0" applyFont="1" applyFill="1" applyBorder="1" applyAlignment="1">
      <alignment horizontal="left" vertical="center" indent="1"/>
    </xf>
    <xf numFmtId="171" fontId="11" fillId="0" borderId="67" xfId="0" applyNumberFormat="1" applyFont="1" applyFill="1" applyBorder="1" applyAlignment="1">
      <alignment horizontal="center" vertical="center"/>
    </xf>
    <xf numFmtId="37" fontId="36" fillId="0" borderId="44" xfId="0" applyFont="1" applyFill="1" applyBorder="1" applyAlignment="1" quotePrefix="1">
      <alignment horizontal="left" vertical="center" indent="1"/>
    </xf>
    <xf numFmtId="37" fontId="36" fillId="0" borderId="66" xfId="0" applyFont="1" applyFill="1" applyBorder="1" applyAlignment="1" quotePrefix="1">
      <alignment horizontal="left" vertical="center" indent="1"/>
    </xf>
    <xf numFmtId="171" fontId="30" fillId="0" borderId="22" xfId="0" applyNumberFormat="1" applyFont="1" applyFill="1" applyBorder="1" applyAlignment="1">
      <alignment horizontal="center" vertical="center"/>
    </xf>
    <xf numFmtId="37" fontId="30" fillId="0" borderId="26" xfId="0" applyFont="1" applyFill="1" applyBorder="1" applyAlignment="1">
      <alignment horizontal="center" vertical="center"/>
    </xf>
    <xf numFmtId="165" fontId="30" fillId="0" borderId="20" xfId="106" applyFont="1" applyFill="1" applyBorder="1" applyAlignment="1">
      <alignment horizontal="center" vertical="center"/>
    </xf>
    <xf numFmtId="165" fontId="30" fillId="0" borderId="26" xfId="106" applyFont="1" applyFill="1" applyBorder="1" applyAlignment="1">
      <alignment horizontal="center" vertical="center"/>
    </xf>
    <xf numFmtId="171" fontId="32" fillId="0" borderId="21" xfId="0" applyNumberFormat="1" applyFont="1" applyFill="1" applyBorder="1" applyAlignment="1">
      <alignment vertical="center"/>
    </xf>
    <xf numFmtId="171" fontId="32" fillId="0" borderId="67" xfId="0" applyNumberFormat="1" applyFont="1" applyFill="1" applyBorder="1" applyAlignment="1">
      <alignment horizontal="center" vertical="center"/>
    </xf>
    <xf numFmtId="171" fontId="32" fillId="0" borderId="21" xfId="0" applyNumberFormat="1" applyFont="1" applyFill="1" applyBorder="1" applyAlignment="1">
      <alignment horizontal="center" vertical="center"/>
    </xf>
    <xf numFmtId="10" fontId="30" fillId="0" borderId="20" xfId="86" applyNumberFormat="1" applyFont="1" applyFill="1" applyBorder="1" applyAlignment="1">
      <alignment horizontal="center" vertical="center"/>
    </xf>
    <xf numFmtId="10" fontId="30" fillId="0" borderId="30" xfId="86" applyNumberFormat="1" applyFont="1" applyFill="1" applyBorder="1" applyAlignment="1">
      <alignment horizontal="center" vertical="center"/>
    </xf>
    <xf numFmtId="171" fontId="32" fillId="0" borderId="19" xfId="0" applyNumberFormat="1" applyFont="1" applyFill="1" applyBorder="1" applyAlignment="1">
      <alignment horizontal="center" vertical="center"/>
    </xf>
    <xf numFmtId="175" fontId="32" fillId="0" borderId="19" xfId="0" applyNumberFormat="1" applyFont="1" applyFill="1" applyBorder="1" applyAlignment="1">
      <alignment horizontal="center" vertical="center"/>
    </xf>
    <xf numFmtId="37" fontId="32" fillId="0" borderId="69" xfId="0" applyFont="1" applyFill="1" applyBorder="1" applyAlignment="1">
      <alignment horizontal="center" vertical="center"/>
    </xf>
    <xf numFmtId="171" fontId="32" fillId="0" borderId="27" xfId="0" applyNumberFormat="1" applyFont="1" applyFill="1" applyBorder="1" applyAlignment="1">
      <alignment horizontal="center" vertical="center"/>
    </xf>
    <xf numFmtId="37" fontId="32" fillId="0" borderId="68" xfId="0" applyFont="1" applyFill="1" applyBorder="1" applyAlignment="1">
      <alignment horizontal="center" vertical="center"/>
    </xf>
    <xf numFmtId="175" fontId="32" fillId="0" borderId="69" xfId="0" applyNumberFormat="1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right" vertical="center"/>
    </xf>
    <xf numFmtId="171" fontId="32" fillId="0" borderId="19" xfId="106" applyNumberFormat="1" applyFont="1" applyFill="1" applyBorder="1" applyAlignment="1">
      <alignment horizontal="center" vertical="center"/>
    </xf>
    <xf numFmtId="165" fontId="30" fillId="0" borderId="22" xfId="106" applyFont="1" applyFill="1" applyBorder="1" applyAlignment="1">
      <alignment horizontal="center" vertical="center"/>
    </xf>
    <xf numFmtId="172" fontId="30" fillId="0" borderId="20" xfId="106" applyNumberFormat="1" applyFont="1" applyFill="1" applyBorder="1" applyAlignment="1">
      <alignment horizontal="center" vertical="center"/>
    </xf>
    <xf numFmtId="165" fontId="30" fillId="0" borderId="22" xfId="106" applyFont="1" applyFill="1" applyBorder="1" applyAlignment="1">
      <alignment horizontal="right" vertical="center"/>
    </xf>
    <xf numFmtId="171" fontId="30" fillId="0" borderId="20" xfId="106" applyNumberFormat="1" applyFont="1" applyFill="1" applyBorder="1" applyAlignment="1">
      <alignment horizontal="right" vertical="center"/>
    </xf>
    <xf numFmtId="171" fontId="11" fillId="0" borderId="61" xfId="0" applyNumberFormat="1" applyFont="1" applyFill="1" applyBorder="1" applyAlignment="1">
      <alignment horizontal="right" vertical="center"/>
    </xf>
    <xf numFmtId="171" fontId="11" fillId="0" borderId="62" xfId="0" applyNumberFormat="1" applyFont="1" applyFill="1" applyBorder="1" applyAlignment="1">
      <alignment horizontal="right" vertical="center"/>
    </xf>
    <xf numFmtId="172" fontId="11" fillId="0" borderId="62" xfId="0" applyNumberFormat="1" applyFont="1" applyFill="1" applyBorder="1" applyAlignment="1">
      <alignment horizontal="right" vertical="center"/>
    </xf>
    <xf numFmtId="171" fontId="11" fillId="0" borderId="62" xfId="106" applyNumberFormat="1" applyFont="1" applyFill="1" applyBorder="1" applyAlignment="1">
      <alignment horizontal="right" vertical="center"/>
    </xf>
    <xf numFmtId="171" fontId="11" fillId="0" borderId="30" xfId="0" applyNumberFormat="1" applyFont="1" applyFill="1" applyBorder="1" applyAlignment="1">
      <alignment horizontal="right" vertical="center"/>
    </xf>
    <xf numFmtId="172" fontId="11" fillId="0" borderId="30" xfId="0" applyNumberFormat="1" applyFont="1" applyFill="1" applyBorder="1" applyAlignment="1">
      <alignment horizontal="right" vertical="center"/>
    </xf>
    <xf numFmtId="2" fontId="30" fillId="0" borderId="20" xfId="0" applyNumberFormat="1" applyFont="1" applyFill="1" applyBorder="1" applyAlignment="1">
      <alignment vertical="center"/>
    </xf>
    <xf numFmtId="37" fontId="38" fillId="6" borderId="70" xfId="0" applyFont="1" applyFill="1" applyBorder="1" applyAlignment="1">
      <alignment horizontal="left" vertical="center" indent="1"/>
    </xf>
    <xf numFmtId="37" fontId="30" fillId="6" borderId="69" xfId="0" applyFont="1" applyFill="1" applyBorder="1" applyAlignment="1">
      <alignment horizontal="center" vertical="center"/>
    </xf>
    <xf numFmtId="37" fontId="30" fillId="6" borderId="26" xfId="0" applyFont="1" applyFill="1" applyBorder="1" applyAlignment="1">
      <alignment horizontal="center" vertical="center"/>
    </xf>
    <xf numFmtId="37" fontId="30" fillId="6" borderId="31" xfId="0" applyFont="1" applyFill="1" applyBorder="1" applyAlignment="1">
      <alignment horizontal="center" vertical="center"/>
    </xf>
    <xf numFmtId="37" fontId="30" fillId="6" borderId="65" xfId="0" applyFont="1" applyFill="1" applyBorder="1" applyAlignment="1">
      <alignment horizontal="center" vertical="center"/>
    </xf>
    <xf numFmtId="37" fontId="30" fillId="6" borderId="68" xfId="0" applyFont="1" applyFill="1" applyBorder="1" applyAlignment="1">
      <alignment horizontal="center" vertical="center"/>
    </xf>
    <xf numFmtId="37" fontId="31" fillId="6" borderId="42" xfId="0" applyFont="1" applyFill="1" applyBorder="1" applyAlignment="1">
      <alignment horizontal="left" vertical="center" indent="1"/>
    </xf>
    <xf numFmtId="170" fontId="38" fillId="6" borderId="37" xfId="0" applyNumberFormat="1" applyFont="1" applyFill="1" applyBorder="1" applyAlignment="1">
      <alignment horizontal="center" vertical="center"/>
    </xf>
    <xf numFmtId="170" fontId="38" fillId="6" borderId="38" xfId="0" applyNumberFormat="1" applyFont="1" applyFill="1" applyBorder="1" applyAlignment="1">
      <alignment horizontal="center" vertical="center"/>
    </xf>
    <xf numFmtId="170" fontId="38" fillId="6" borderId="71" xfId="0" applyNumberFormat="1" applyFont="1" applyFill="1" applyBorder="1" applyAlignment="1">
      <alignment horizontal="center" vertical="center"/>
    </xf>
    <xf numFmtId="37" fontId="31" fillId="6" borderId="72" xfId="0" applyFont="1" applyFill="1" applyBorder="1" applyAlignment="1">
      <alignment horizontal="center" vertical="center"/>
    </xf>
    <xf numFmtId="37" fontId="31" fillId="6" borderId="38" xfId="0" applyFont="1" applyFill="1" applyBorder="1" applyAlignment="1">
      <alignment horizontal="center" vertical="center"/>
    </xf>
    <xf numFmtId="170" fontId="38" fillId="6" borderId="39" xfId="0" applyNumberFormat="1" applyFont="1" applyFill="1" applyBorder="1" applyAlignment="1">
      <alignment horizontal="center" vertical="center"/>
    </xf>
    <xf numFmtId="37" fontId="31" fillId="6" borderId="37" xfId="0" applyFont="1" applyFill="1" applyBorder="1" applyAlignment="1">
      <alignment horizontal="center" vertical="center"/>
    </xf>
    <xf numFmtId="171" fontId="31" fillId="6" borderId="72" xfId="0" applyNumberFormat="1" applyFont="1" applyFill="1" applyBorder="1" applyAlignment="1">
      <alignment horizontal="center" vertical="center"/>
    </xf>
    <xf numFmtId="165" fontId="11" fillId="0" borderId="62" xfId="0" applyNumberFormat="1" applyFont="1" applyFill="1" applyBorder="1" applyAlignment="1">
      <alignment horizontal="right" vertical="center"/>
    </xf>
    <xf numFmtId="171" fontId="11" fillId="0" borderId="68" xfId="0" applyNumberFormat="1" applyFont="1" applyFill="1" applyBorder="1" applyAlignment="1">
      <alignment horizontal="center" vertical="center"/>
    </xf>
    <xf numFmtId="165" fontId="30" fillId="0" borderId="30" xfId="106" applyFont="1" applyFill="1" applyBorder="1" applyAlignment="1">
      <alignment horizontal="right" vertical="center"/>
    </xf>
    <xf numFmtId="171" fontId="11" fillId="0" borderId="61" xfId="106" applyNumberFormat="1" applyFont="1" applyFill="1" applyBorder="1" applyAlignment="1">
      <alignment horizontal="right" vertical="center"/>
    </xf>
    <xf numFmtId="37" fontId="34" fillId="0" borderId="0" xfId="0" applyFont="1" applyBorder="1" applyAlignment="1">
      <alignment/>
    </xf>
    <xf numFmtId="37" fontId="34" fillId="0" borderId="0" xfId="0" applyFont="1" applyAlignment="1">
      <alignment/>
    </xf>
    <xf numFmtId="170" fontId="34" fillId="6" borderId="37" xfId="0" applyNumberFormat="1" applyFont="1" applyFill="1" applyBorder="1" applyAlignment="1">
      <alignment horizontal="center" vertical="center"/>
    </xf>
    <xf numFmtId="170" fontId="34" fillId="6" borderId="38" xfId="0" applyNumberFormat="1" applyFont="1" applyFill="1" applyBorder="1" applyAlignment="1">
      <alignment horizontal="center" vertical="center"/>
    </xf>
    <xf numFmtId="170" fontId="34" fillId="6" borderId="71" xfId="0" applyNumberFormat="1" applyFont="1" applyFill="1" applyBorder="1" applyAlignment="1">
      <alignment horizontal="center" vertical="center"/>
    </xf>
    <xf numFmtId="170" fontId="34" fillId="6" borderId="39" xfId="0" applyNumberFormat="1" applyFont="1" applyFill="1" applyBorder="1" applyAlignment="1">
      <alignment horizontal="center" vertical="center"/>
    </xf>
    <xf numFmtId="37" fontId="34" fillId="6" borderId="42" xfId="0" applyFont="1" applyFill="1" applyBorder="1" applyAlignment="1">
      <alignment horizontal="left" vertical="center" indent="1"/>
    </xf>
    <xf numFmtId="37" fontId="34" fillId="6" borderId="72" xfId="0" applyFont="1" applyFill="1" applyBorder="1" applyAlignment="1">
      <alignment horizontal="center" vertical="center"/>
    </xf>
    <xf numFmtId="37" fontId="34" fillId="6" borderId="38" xfId="0" applyFont="1" applyFill="1" applyBorder="1" applyAlignment="1">
      <alignment horizontal="center" vertical="center"/>
    </xf>
    <xf numFmtId="37" fontId="34" fillId="6" borderId="37" xfId="0" applyFont="1" applyFill="1" applyBorder="1" applyAlignment="1">
      <alignment horizontal="center" vertical="center"/>
    </xf>
    <xf numFmtId="171" fontId="34" fillId="6" borderId="72" xfId="0" applyNumberFormat="1" applyFont="1" applyFill="1" applyBorder="1" applyAlignment="1">
      <alignment horizontal="center" vertical="center"/>
    </xf>
    <xf numFmtId="37" fontId="34" fillId="6" borderId="0" xfId="0" applyFont="1" applyFill="1" applyBorder="1" applyAlignment="1">
      <alignment horizontal="left" vertical="center" indent="1"/>
    </xf>
    <xf numFmtId="170" fontId="34" fillId="6" borderId="45" xfId="0" applyNumberFormat="1" applyFont="1" applyFill="1" applyBorder="1" applyAlignment="1">
      <alignment horizontal="center" vertical="center"/>
    </xf>
    <xf numFmtId="170" fontId="34" fillId="6" borderId="40" xfId="0" applyNumberFormat="1" applyFont="1" applyFill="1" applyBorder="1" applyAlignment="1">
      <alignment horizontal="center" vertical="center"/>
    </xf>
    <xf numFmtId="170" fontId="34" fillId="6" borderId="73" xfId="0" applyNumberFormat="1" applyFont="1" applyFill="1" applyBorder="1" applyAlignment="1">
      <alignment horizontal="center" vertical="center"/>
    </xf>
    <xf numFmtId="37" fontId="34" fillId="6" borderId="45" xfId="0" applyFont="1" applyFill="1" applyBorder="1" applyAlignment="1">
      <alignment horizontal="center" vertical="center"/>
    </xf>
    <xf numFmtId="37" fontId="34" fillId="6" borderId="40" xfId="0" applyFont="1" applyFill="1" applyBorder="1" applyAlignment="1">
      <alignment horizontal="center" vertical="center"/>
    </xf>
    <xf numFmtId="171" fontId="34" fillId="6" borderId="74" xfId="0" applyNumberFormat="1" applyFont="1" applyFill="1" applyBorder="1" applyAlignment="1">
      <alignment horizontal="center" vertical="center"/>
    </xf>
    <xf numFmtId="37" fontId="31" fillId="0" borderId="42" xfId="0" applyFont="1" applyFill="1" applyBorder="1" applyAlignment="1">
      <alignment vertical="center"/>
    </xf>
    <xf numFmtId="37" fontId="36" fillId="0" borderId="0" xfId="0" applyFont="1" applyBorder="1" applyAlignment="1">
      <alignment horizontal="left" vertical="center" indent="2"/>
    </xf>
    <xf numFmtId="9" fontId="11" fillId="0" borderId="0" xfId="86" applyFont="1" applyFill="1" applyBorder="1" applyAlignment="1">
      <alignment horizontal="center" vertical="center"/>
    </xf>
    <xf numFmtId="37" fontId="11" fillId="0" borderId="0" xfId="0" applyFont="1" applyFill="1" applyBorder="1" applyAlignment="1">
      <alignment vertical="center"/>
    </xf>
    <xf numFmtId="171" fontId="36" fillId="0" borderId="0" xfId="0" applyNumberFormat="1" applyFont="1" applyFill="1" applyBorder="1" applyAlignment="1">
      <alignment horizontal="center" vertical="center"/>
    </xf>
    <xf numFmtId="10" fontId="11" fillId="0" borderId="0" xfId="86" applyNumberFormat="1" applyFont="1" applyFill="1" applyBorder="1" applyAlignment="1">
      <alignment horizontal="center" vertical="center"/>
    </xf>
    <xf numFmtId="37" fontId="31" fillId="6" borderId="75" xfId="0" applyFont="1" applyFill="1" applyBorder="1" applyAlignment="1">
      <alignment horizontal="left" vertical="center" indent="1"/>
    </xf>
    <xf numFmtId="37" fontId="31" fillId="6" borderId="76" xfId="0" applyFont="1" applyFill="1" applyBorder="1" applyAlignment="1">
      <alignment horizontal="left" vertical="center" indent="1"/>
    </xf>
    <xf numFmtId="37" fontId="11" fillId="30" borderId="75" xfId="0" applyFont="1" applyFill="1" applyBorder="1" applyAlignment="1">
      <alignment horizontal="left" vertical="center" indent="1"/>
    </xf>
    <xf numFmtId="171" fontId="31" fillId="30" borderId="33" xfId="0" applyNumberFormat="1" applyFont="1" applyFill="1" applyBorder="1" applyAlignment="1">
      <alignment horizontal="center" vertical="center"/>
    </xf>
    <xf numFmtId="37" fontId="31" fillId="30" borderId="76" xfId="0" applyFont="1" applyFill="1" applyBorder="1" applyAlignment="1">
      <alignment horizontal="left" vertical="center" indent="1"/>
    </xf>
    <xf numFmtId="37" fontId="11" fillId="30" borderId="76" xfId="0" applyFont="1" applyFill="1" applyBorder="1" applyAlignment="1">
      <alignment horizontal="right" vertical="center"/>
    </xf>
    <xf numFmtId="9" fontId="11" fillId="30" borderId="77" xfId="86" applyFont="1" applyFill="1" applyBorder="1" applyAlignment="1">
      <alignment horizontal="center" vertical="center"/>
    </xf>
    <xf numFmtId="37" fontId="11" fillId="30" borderId="78" xfId="0" applyFont="1" applyFill="1" applyBorder="1" applyAlignment="1">
      <alignment vertical="center"/>
    </xf>
    <xf numFmtId="37" fontId="11" fillId="30" borderId="77" xfId="0" applyFont="1" applyFill="1" applyBorder="1" applyAlignment="1">
      <alignment horizontal="right" vertical="center"/>
    </xf>
    <xf numFmtId="171" fontId="31" fillId="30" borderId="32" xfId="0" applyNumberFormat="1" applyFont="1" applyFill="1" applyBorder="1" applyAlignment="1">
      <alignment horizontal="center" vertical="center"/>
    </xf>
    <xf numFmtId="180" fontId="30" fillId="0" borderId="41" xfId="86" applyNumberFormat="1" applyFont="1" applyFill="1" applyBorder="1" applyAlignment="1">
      <alignment horizontal="right" vertical="center"/>
    </xf>
    <xf numFmtId="10" fontId="31" fillId="6" borderId="39" xfId="86" applyNumberFormat="1" applyFont="1" applyFill="1" applyBorder="1" applyAlignment="1">
      <alignment horizontal="right" vertical="center"/>
    </xf>
    <xf numFmtId="10" fontId="11" fillId="0" borderId="29" xfId="86" applyNumberFormat="1" applyFont="1" applyFill="1" applyBorder="1" applyAlignment="1">
      <alignment horizontal="right" vertical="center"/>
    </xf>
    <xf numFmtId="10" fontId="11" fillId="0" borderId="30" xfId="86" applyNumberFormat="1" applyFont="1" applyFill="1" applyBorder="1" applyAlignment="1">
      <alignment horizontal="right" vertical="center"/>
    </xf>
    <xf numFmtId="10" fontId="11" fillId="0" borderId="31" xfId="86" applyNumberFormat="1" applyFont="1" applyFill="1" applyBorder="1" applyAlignment="1">
      <alignment horizontal="right" vertical="center"/>
    </xf>
    <xf numFmtId="37" fontId="31" fillId="0" borderId="0" xfId="0" applyFont="1" applyFill="1" applyBorder="1" applyAlignment="1">
      <alignment horizontal="right" vertical="center"/>
    </xf>
    <xf numFmtId="10" fontId="34" fillId="6" borderId="39" xfId="86" applyNumberFormat="1" applyFont="1" applyFill="1" applyBorder="1" applyAlignment="1">
      <alignment horizontal="right" vertical="center"/>
    </xf>
    <xf numFmtId="10" fontId="34" fillId="6" borderId="41" xfId="86" applyNumberFormat="1" applyFont="1" applyFill="1" applyBorder="1" applyAlignment="1">
      <alignment horizontal="right" vertical="center"/>
    </xf>
    <xf numFmtId="37" fontId="31" fillId="0" borderId="42" xfId="0" applyFont="1" applyFill="1" applyBorder="1" applyAlignment="1">
      <alignment horizontal="right" vertical="center"/>
    </xf>
    <xf numFmtId="10" fontId="11" fillId="30" borderId="79" xfId="86" applyNumberFormat="1" applyFont="1" applyFill="1" applyBorder="1" applyAlignment="1">
      <alignment horizontal="right" vertical="center"/>
    </xf>
    <xf numFmtId="10" fontId="11" fillId="30" borderId="25" xfId="86" applyNumberFormat="1" applyFont="1" applyFill="1" applyBorder="1" applyAlignment="1">
      <alignment horizontal="right" vertical="center"/>
    </xf>
    <xf numFmtId="37" fontId="39" fillId="0" borderId="0" xfId="0" applyFont="1" applyAlignment="1">
      <alignment/>
    </xf>
    <xf numFmtId="37" fontId="34" fillId="22" borderId="42" xfId="0" applyFont="1" applyFill="1" applyBorder="1" applyAlignment="1">
      <alignment vertical="center"/>
    </xf>
    <xf numFmtId="165" fontId="11" fillId="22" borderId="42" xfId="106" applyFont="1" applyFill="1" applyBorder="1" applyAlignment="1">
      <alignment vertical="center"/>
    </xf>
    <xf numFmtId="37" fontId="34" fillId="22" borderId="74" xfId="0" applyFont="1" applyFill="1" applyBorder="1" applyAlignment="1">
      <alignment vertical="center"/>
    </xf>
    <xf numFmtId="177" fontId="38" fillId="22" borderId="41" xfId="106" applyNumberFormat="1" applyFont="1" applyFill="1" applyBorder="1" applyAlignment="1">
      <alignment horizontal="right" vertical="center"/>
    </xf>
    <xf numFmtId="173" fontId="30" fillId="0" borderId="67" xfId="0" applyNumberFormat="1" applyFont="1" applyBorder="1" applyAlignment="1">
      <alignment vertical="center"/>
    </xf>
    <xf numFmtId="37" fontId="30" fillId="0" borderId="32" xfId="0" applyFont="1" applyBorder="1" applyAlignment="1">
      <alignment vertical="center"/>
    </xf>
    <xf numFmtId="37" fontId="30" fillId="0" borderId="80" xfId="0" applyFont="1" applyBorder="1" applyAlignment="1">
      <alignment vertical="center"/>
    </xf>
    <xf numFmtId="37" fontId="30" fillId="0" borderId="27" xfId="0" applyFont="1" applyBorder="1" applyAlignment="1" quotePrefix="1">
      <alignment vertical="center"/>
    </xf>
    <xf numFmtId="9" fontId="11" fillId="30" borderId="77" xfId="86" applyFont="1" applyFill="1" applyBorder="1" applyAlignment="1" applyProtection="1">
      <alignment horizontal="center" vertical="center"/>
      <protection locked="0"/>
    </xf>
    <xf numFmtId="37" fontId="0" fillId="0" borderId="0" xfId="0" applyFont="1" applyAlignment="1">
      <alignment/>
    </xf>
    <xf numFmtId="10" fontId="30" fillId="0" borderId="30" xfId="86" applyNumberFormat="1" applyFont="1" applyFill="1" applyBorder="1" applyAlignment="1" applyProtection="1">
      <alignment horizontal="center" vertical="center"/>
      <protection locked="0"/>
    </xf>
    <xf numFmtId="37" fontId="30" fillId="0" borderId="67" xfId="82" applyFont="1" applyFill="1" applyBorder="1" applyAlignment="1">
      <alignment vertical="center"/>
      <protection/>
    </xf>
    <xf numFmtId="37" fontId="30" fillId="0" borderId="27" xfId="82" applyFont="1" applyFill="1" applyBorder="1" applyAlignment="1">
      <alignment vertical="center"/>
      <protection/>
    </xf>
    <xf numFmtId="177" fontId="30" fillId="6" borderId="41" xfId="82" applyNumberFormat="1" applyFont="1" applyFill="1" applyBorder="1" applyAlignment="1">
      <alignment horizontal="right" vertical="center"/>
      <protection/>
    </xf>
    <xf numFmtId="9" fontId="30" fillId="0" borderId="0" xfId="86" applyFont="1" applyFill="1" applyBorder="1" applyAlignment="1">
      <alignment vertical="center"/>
    </xf>
    <xf numFmtId="177" fontId="30" fillId="0" borderId="0" xfId="82" applyNumberFormat="1" applyFont="1" applyFill="1" applyBorder="1" applyAlignment="1">
      <alignment horizontal="right" vertical="center"/>
      <protection/>
    </xf>
    <xf numFmtId="37" fontId="30" fillId="0" borderId="0" xfId="82" applyFont="1" applyFill="1" applyBorder="1" applyAlignment="1">
      <alignment vertical="center"/>
      <protection/>
    </xf>
    <xf numFmtId="10" fontId="30" fillId="0" borderId="0" xfId="86" applyNumberFormat="1" applyFont="1" applyFill="1" applyBorder="1" applyAlignment="1" applyProtection="1">
      <alignment horizontal="center" vertical="center"/>
      <protection locked="0"/>
    </xf>
    <xf numFmtId="37" fontId="4" fillId="0" borderId="0" xfId="0" applyFont="1" applyFill="1" applyBorder="1" applyAlignment="1">
      <alignment/>
    </xf>
    <xf numFmtId="37" fontId="7" fillId="0" borderId="81" xfId="0" applyNumberFormat="1" applyFont="1" applyBorder="1" applyAlignment="1">
      <alignment/>
    </xf>
    <xf numFmtId="37" fontId="30" fillId="0" borderId="0" xfId="0" applyFont="1" applyFill="1" applyBorder="1" applyAlignment="1">
      <alignment vertical="center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14" fillId="0" borderId="0" xfId="86" applyNumberFormat="1" applyFont="1" applyFill="1" applyAlignment="1">
      <alignment horizontal="center"/>
    </xf>
    <xf numFmtId="178" fontId="14" fillId="0" borderId="0" xfId="77" applyNumberFormat="1" applyFont="1" applyFill="1" applyAlignment="1">
      <alignment/>
    </xf>
    <xf numFmtId="37" fontId="14" fillId="0" borderId="0" xfId="0" applyFont="1" applyFill="1" applyBorder="1" applyAlignment="1">
      <alignment/>
    </xf>
    <xf numFmtId="37" fontId="29" fillId="0" borderId="0" xfId="0" applyFont="1" applyAlignment="1">
      <alignment/>
    </xf>
    <xf numFmtId="37" fontId="15" fillId="0" borderId="0" xfId="0" applyFont="1" applyAlignment="1">
      <alignment horizontal="center"/>
    </xf>
    <xf numFmtId="37" fontId="14" fillId="0" borderId="0" xfId="0" applyFont="1" applyAlignment="1">
      <alignment/>
    </xf>
    <xf numFmtId="9" fontId="14" fillId="0" borderId="0" xfId="86" applyFont="1" applyAlignment="1">
      <alignment horizontal="center"/>
    </xf>
    <xf numFmtId="178" fontId="14" fillId="0" borderId="0" xfId="0" applyNumberFormat="1" applyFont="1" applyAlignment="1">
      <alignment horizontal="center"/>
    </xf>
    <xf numFmtId="37" fontId="14" fillId="49" borderId="0" xfId="0" applyFont="1" applyFill="1" applyAlignment="1">
      <alignment horizontal="center"/>
    </xf>
    <xf numFmtId="176" fontId="31" fillId="0" borderId="0" xfId="0" applyNumberFormat="1" applyFont="1" applyFill="1" applyAlignment="1">
      <alignment/>
    </xf>
    <xf numFmtId="176" fontId="31" fillId="0" borderId="0" xfId="86" applyNumberFormat="1" applyFont="1" applyAlignment="1">
      <alignment/>
    </xf>
    <xf numFmtId="176" fontId="31" fillId="0" borderId="0" xfId="0" applyNumberFormat="1" applyFont="1" applyFill="1" applyBorder="1" applyAlignment="1">
      <alignment/>
    </xf>
    <xf numFmtId="176" fontId="40" fillId="0" borderId="0" xfId="0" applyNumberFormat="1" applyFont="1" applyAlignment="1">
      <alignment horizontal="center"/>
    </xf>
    <xf numFmtId="37" fontId="36" fillId="0" borderId="0" xfId="0" applyFont="1" applyFill="1" applyBorder="1" applyAlignment="1">
      <alignment horizontal="left" vertical="center" indent="1"/>
    </xf>
    <xf numFmtId="37" fontId="36" fillId="0" borderId="82" xfId="0" applyFont="1" applyFill="1" applyBorder="1" applyAlignment="1">
      <alignment horizontal="left" vertical="center" indent="1"/>
    </xf>
    <xf numFmtId="176" fontId="40" fillId="0" borderId="82" xfId="0" applyNumberFormat="1" applyFont="1" applyBorder="1" applyAlignment="1">
      <alignment horizontal="center"/>
    </xf>
    <xf numFmtId="10" fontId="14" fillId="0" borderId="82" xfId="86" applyNumberFormat="1" applyFont="1" applyFill="1" applyBorder="1" applyAlignment="1">
      <alignment horizontal="center"/>
    </xf>
    <xf numFmtId="178" fontId="14" fillId="0" borderId="82" xfId="77" applyNumberFormat="1" applyFont="1" applyFill="1" applyBorder="1" applyAlignment="1">
      <alignment/>
    </xf>
    <xf numFmtId="37" fontId="36" fillId="0" borderId="82" xfId="0" applyFont="1" applyFill="1" applyBorder="1" applyAlignment="1" quotePrefix="1">
      <alignment horizontal="left" vertical="center" indent="1"/>
    </xf>
    <xf numFmtId="37" fontId="36" fillId="0" borderId="83" xfId="0" applyFont="1" applyBorder="1" applyAlignment="1">
      <alignment horizontal="left" vertical="center" indent="1"/>
    </xf>
    <xf numFmtId="176" fontId="40" fillId="0" borderId="83" xfId="0" applyNumberFormat="1" applyFont="1" applyBorder="1" applyAlignment="1">
      <alignment horizontal="center"/>
    </xf>
    <xf numFmtId="10" fontId="14" fillId="0" borderId="83" xfId="86" applyNumberFormat="1" applyFont="1" applyFill="1" applyBorder="1" applyAlignment="1">
      <alignment horizontal="center"/>
    </xf>
    <xf numFmtId="178" fontId="14" fillId="0" borderId="83" xfId="77" applyNumberFormat="1" applyFont="1" applyFill="1" applyBorder="1" applyAlignment="1">
      <alignment/>
    </xf>
    <xf numFmtId="37" fontId="36" fillId="0" borderId="83" xfId="0" applyFont="1" applyBorder="1" applyAlignment="1" quotePrefix="1">
      <alignment horizontal="left" vertical="center" indent="1"/>
    </xf>
    <xf numFmtId="37" fontId="36" fillId="0" borderId="83" xfId="0" applyFont="1" applyFill="1" applyBorder="1" applyAlignment="1">
      <alignment horizontal="left" vertical="center" indent="1"/>
    </xf>
    <xf numFmtId="37" fontId="36" fillId="0" borderId="82" xfId="0" applyFont="1" applyBorder="1" applyAlignment="1">
      <alignment horizontal="left" vertical="center" indent="1"/>
    </xf>
    <xf numFmtId="37" fontId="11" fillId="30" borderId="83" xfId="0" applyFont="1" applyFill="1" applyBorder="1" applyAlignment="1">
      <alignment horizontal="left" vertical="center" indent="1"/>
    </xf>
    <xf numFmtId="37" fontId="31" fillId="30" borderId="83" xfId="0" applyFont="1" applyFill="1" applyBorder="1" applyAlignment="1">
      <alignment horizontal="left" vertical="center" indent="1"/>
    </xf>
    <xf numFmtId="37" fontId="34" fillId="0" borderId="0" xfId="0" applyFont="1" applyFill="1" applyBorder="1" applyAlignment="1">
      <alignment/>
    </xf>
    <xf numFmtId="9" fontId="9" fillId="0" borderId="0" xfId="86" applyFont="1" applyBorder="1" applyAlignment="1">
      <alignment/>
    </xf>
    <xf numFmtId="176" fontId="14" fillId="0" borderId="83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/>
    </xf>
    <xf numFmtId="176" fontId="14" fillId="49" borderId="0" xfId="0" applyNumberFormat="1" applyFont="1" applyFill="1" applyAlignment="1">
      <alignment horizontal="center"/>
    </xf>
    <xf numFmtId="176" fontId="14" fillId="0" borderId="82" xfId="0" applyNumberFormat="1" applyFont="1" applyFill="1" applyBorder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76" fontId="0" fillId="0" borderId="0" xfId="0" applyNumberFormat="1" applyAlignment="1">
      <alignment/>
    </xf>
    <xf numFmtId="165" fontId="31" fillId="0" borderId="0" xfId="106" applyFont="1" applyBorder="1" applyAlignment="1">
      <alignment/>
    </xf>
    <xf numFmtId="37" fontId="38" fillId="2" borderId="0" xfId="0" applyFont="1" applyFill="1" applyBorder="1" applyAlignment="1">
      <alignment vertical="center"/>
    </xf>
    <xf numFmtId="176" fontId="40" fillId="2" borderId="82" xfId="0" applyNumberFormat="1" applyFont="1" applyFill="1" applyBorder="1" applyAlignment="1">
      <alignment horizontal="center"/>
    </xf>
    <xf numFmtId="10" fontId="14" fillId="2" borderId="82" xfId="86" applyNumberFormat="1" applyFont="1" applyFill="1" applyBorder="1" applyAlignment="1">
      <alignment horizontal="center"/>
    </xf>
    <xf numFmtId="176" fontId="14" fillId="2" borderId="82" xfId="0" applyNumberFormat="1" applyFont="1" applyFill="1" applyBorder="1" applyAlignment="1">
      <alignment horizontal="center"/>
    </xf>
    <xf numFmtId="178" fontId="14" fillId="2" borderId="82" xfId="77" applyNumberFormat="1" applyFont="1" applyFill="1" applyBorder="1" applyAlignment="1">
      <alignment/>
    </xf>
    <xf numFmtId="183" fontId="40" fillId="0" borderId="0" xfId="0" applyNumberFormat="1" applyFont="1" applyAlignment="1">
      <alignment horizontal="center"/>
    </xf>
    <xf numFmtId="178" fontId="40" fillId="0" borderId="0" xfId="77" applyNumberFormat="1" applyFont="1" applyAlignment="1">
      <alignment horizontal="center"/>
    </xf>
    <xf numFmtId="165" fontId="30" fillId="0" borderId="26" xfId="106" applyFont="1" applyFill="1" applyBorder="1" applyAlignment="1">
      <alignment horizontal="right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7" fontId="0" fillId="0" borderId="30" xfId="0" applyFont="1" applyBorder="1" applyAlignment="1">
      <alignment horizontal="center" vertical="center"/>
    </xf>
    <xf numFmtId="37" fontId="34" fillId="8" borderId="74" xfId="0" applyFont="1" applyFill="1" applyBorder="1" applyAlignment="1">
      <alignment vertical="center"/>
    </xf>
    <xf numFmtId="169" fontId="13" fillId="8" borderId="41" xfId="106" applyNumberFormat="1" applyFont="1" applyFill="1" applyBorder="1" applyAlignment="1">
      <alignment horizontal="left" vertical="center"/>
    </xf>
    <xf numFmtId="39" fontId="30" fillId="0" borderId="31" xfId="0" applyNumberFormat="1" applyFont="1" applyFill="1" applyBorder="1" applyAlignment="1">
      <alignment vertical="center"/>
    </xf>
    <xf numFmtId="171" fontId="11" fillId="0" borderId="65" xfId="0" applyNumberFormat="1" applyFont="1" applyFill="1" applyBorder="1" applyAlignment="1">
      <alignment horizontal="right" vertical="center"/>
    </xf>
    <xf numFmtId="168" fontId="11" fillId="0" borderId="62" xfId="0" applyNumberFormat="1" applyFont="1" applyFill="1" applyBorder="1" applyAlignment="1">
      <alignment horizontal="right" vertical="center"/>
    </xf>
    <xf numFmtId="171" fontId="11" fillId="0" borderId="65" xfId="106" applyNumberFormat="1" applyFont="1" applyFill="1" applyBorder="1" applyAlignment="1">
      <alignment horizontal="right" vertical="center"/>
    </xf>
    <xf numFmtId="171" fontId="32" fillId="0" borderId="21" xfId="106" applyNumberFormat="1" applyFont="1" applyFill="1" applyBorder="1" applyAlignment="1">
      <alignment horizontal="center" vertical="center"/>
    </xf>
    <xf numFmtId="168" fontId="30" fillId="0" borderId="20" xfId="0" applyNumberFormat="1" applyFont="1" applyFill="1" applyBorder="1" applyAlignment="1">
      <alignment horizontal="right" vertical="center"/>
    </xf>
    <xf numFmtId="37" fontId="33" fillId="49" borderId="42" xfId="0" applyFont="1" applyFill="1" applyBorder="1" applyAlignment="1">
      <alignment horizontal="center" vertical="center" wrapText="1"/>
    </xf>
    <xf numFmtId="37" fontId="33" fillId="49" borderId="37" xfId="0" applyFont="1" applyFill="1" applyBorder="1" applyAlignment="1">
      <alignment horizontal="center" vertical="center" wrapText="1"/>
    </xf>
    <xf numFmtId="37" fontId="33" fillId="49" borderId="38" xfId="0" applyFont="1" applyFill="1" applyBorder="1" applyAlignment="1">
      <alignment horizontal="center" vertical="center" wrapText="1"/>
    </xf>
    <xf numFmtId="37" fontId="33" fillId="49" borderId="39" xfId="0" applyFont="1" applyFill="1" applyBorder="1" applyAlignment="1">
      <alignment horizontal="center" vertical="center" wrapText="1"/>
    </xf>
    <xf numFmtId="37" fontId="33" fillId="49" borderId="55" xfId="0" applyFont="1" applyFill="1" applyBorder="1" applyAlignment="1">
      <alignment horizontal="center" vertical="center" wrapText="1"/>
    </xf>
    <xf numFmtId="37" fontId="11" fillId="30" borderId="20" xfId="0" applyFont="1" applyFill="1" applyBorder="1" applyAlignment="1">
      <alignment horizontal="center" vertical="center"/>
    </xf>
    <xf numFmtId="37" fontId="11" fillId="30" borderId="50" xfId="0" applyFont="1" applyFill="1" applyBorder="1" applyAlignment="1">
      <alignment horizontal="center" vertical="center"/>
    </xf>
    <xf numFmtId="165" fontId="30" fillId="49" borderId="19" xfId="106" applyFont="1" applyFill="1" applyBorder="1" applyAlignment="1">
      <alignment horizontal="right" vertical="center"/>
    </xf>
    <xf numFmtId="4" fontId="30" fillId="49" borderId="29" xfId="0" applyNumberFormat="1" applyFont="1" applyFill="1" applyBorder="1" applyAlignment="1">
      <alignment horizontal="right" vertical="center"/>
    </xf>
    <xf numFmtId="37" fontId="30" fillId="49" borderId="30" xfId="0" applyFont="1" applyFill="1" applyBorder="1" applyAlignment="1">
      <alignment vertical="center"/>
    </xf>
    <xf numFmtId="39" fontId="30" fillId="49" borderId="30" xfId="0" applyNumberFormat="1" applyFont="1" applyFill="1" applyBorder="1" applyAlignment="1">
      <alignment vertical="center"/>
    </xf>
    <xf numFmtId="39" fontId="30" fillId="49" borderId="31" xfId="0" applyNumberFormat="1" applyFont="1" applyFill="1" applyBorder="1" applyAlignment="1">
      <alignment vertical="center"/>
    </xf>
    <xf numFmtId="37" fontId="30" fillId="49" borderId="67" xfId="0" applyFont="1" applyFill="1" applyBorder="1" applyAlignment="1">
      <alignment vertical="center"/>
    </xf>
    <xf numFmtId="37" fontId="30" fillId="49" borderId="27" xfId="0" applyFont="1" applyFill="1" applyBorder="1" applyAlignment="1">
      <alignment vertical="center"/>
    </xf>
    <xf numFmtId="9" fontId="34" fillId="0" borderId="0" xfId="86" applyFont="1" applyAlignment="1">
      <alignment/>
    </xf>
    <xf numFmtId="179" fontId="0" fillId="0" borderId="0" xfId="86" applyNumberFormat="1" applyFont="1" applyAlignment="1">
      <alignment/>
    </xf>
    <xf numFmtId="9" fontId="30" fillId="0" borderId="0" xfId="86" applyFont="1" applyBorder="1" applyAlignment="1">
      <alignment vertical="center"/>
    </xf>
    <xf numFmtId="165" fontId="30" fillId="49" borderId="20" xfId="106" applyFont="1" applyFill="1" applyBorder="1" applyAlignment="1">
      <alignment horizontal="right" vertical="center"/>
    </xf>
    <xf numFmtId="169" fontId="11" fillId="49" borderId="22" xfId="106" applyNumberFormat="1" applyFont="1" applyFill="1" applyBorder="1" applyAlignment="1">
      <alignment horizontal="right" vertical="center"/>
    </xf>
    <xf numFmtId="169" fontId="11" fillId="49" borderId="61" xfId="106" applyNumberFormat="1" applyFont="1" applyFill="1" applyBorder="1" applyAlignment="1">
      <alignment horizontal="right" vertical="center"/>
    </xf>
    <xf numFmtId="169" fontId="11" fillId="49" borderId="20" xfId="106" applyNumberFormat="1" applyFont="1" applyFill="1" applyBorder="1" applyAlignment="1">
      <alignment horizontal="right" vertical="center"/>
    </xf>
    <xf numFmtId="169" fontId="11" fillId="49" borderId="62" xfId="106" applyNumberFormat="1" applyFont="1" applyFill="1" applyBorder="1" applyAlignment="1">
      <alignment horizontal="right" vertical="center"/>
    </xf>
    <xf numFmtId="169" fontId="11" fillId="49" borderId="24" xfId="106" applyNumberFormat="1" applyFont="1" applyFill="1" applyBorder="1" applyAlignment="1">
      <alignment horizontal="right" vertical="center"/>
    </xf>
    <xf numFmtId="169" fontId="11" fillId="49" borderId="65" xfId="106" applyNumberFormat="1" applyFont="1" applyFill="1" applyBorder="1" applyAlignment="1">
      <alignment horizontal="right" vertical="center"/>
    </xf>
    <xf numFmtId="37" fontId="36" fillId="49" borderId="79" xfId="0" applyFont="1" applyFill="1" applyBorder="1" applyAlignment="1">
      <alignment horizontal="right" vertical="center" indent="1"/>
    </xf>
    <xf numFmtId="37" fontId="36" fillId="49" borderId="62" xfId="0" applyFont="1" applyFill="1" applyBorder="1" applyAlignment="1">
      <alignment horizontal="right" vertical="center" indent="1"/>
    </xf>
    <xf numFmtId="37" fontId="36" fillId="49" borderId="25" xfId="0" applyFont="1" applyFill="1" applyBorder="1" applyAlignment="1">
      <alignment horizontal="right" vertical="center" indent="1"/>
    </xf>
    <xf numFmtId="4" fontId="11" fillId="49" borderId="29" xfId="106" applyNumberFormat="1" applyFont="1" applyFill="1" applyBorder="1" applyAlignment="1">
      <alignment horizontal="right" vertical="center"/>
    </xf>
    <xf numFmtId="4" fontId="11" fillId="49" borderId="30" xfId="106" applyNumberFormat="1" applyFont="1" applyFill="1" applyBorder="1" applyAlignment="1">
      <alignment horizontal="right" vertical="center"/>
    </xf>
    <xf numFmtId="4" fontId="11" fillId="49" borderId="28" xfId="106" applyNumberFormat="1" applyFont="1" applyFill="1" applyBorder="1" applyAlignment="1">
      <alignment horizontal="right" vertical="center"/>
    </xf>
    <xf numFmtId="177" fontId="30" fillId="49" borderId="29" xfId="82" applyNumberFormat="1" applyFont="1" applyFill="1" applyBorder="1" applyAlignment="1">
      <alignment horizontal="right" vertical="center"/>
      <protection/>
    </xf>
    <xf numFmtId="171" fontId="30" fillId="49" borderId="0" xfId="106" applyNumberFormat="1" applyFont="1" applyFill="1" applyAlignment="1">
      <alignment horizontal="right" vertical="center"/>
    </xf>
    <xf numFmtId="37" fontId="30" fillId="0" borderId="0" xfId="0" applyFont="1" applyBorder="1" applyAlignment="1">
      <alignment horizontal="center" vertical="center" wrapText="1"/>
    </xf>
    <xf numFmtId="37" fontId="38" fillId="0" borderId="0" xfId="0" applyFont="1" applyBorder="1" applyAlignment="1">
      <alignment horizontal="center" vertical="center"/>
    </xf>
    <xf numFmtId="39" fontId="30" fillId="0" borderId="0" xfId="0" applyNumberFormat="1" applyFont="1" applyFill="1" applyBorder="1" applyAlignment="1">
      <alignment vertical="center"/>
    </xf>
    <xf numFmtId="37" fontId="38" fillId="0" borderId="81" xfId="0" applyFont="1" applyBorder="1" applyAlignment="1">
      <alignment horizontal="center" vertical="center"/>
    </xf>
    <xf numFmtId="39" fontId="30" fillId="30" borderId="0" xfId="0" applyNumberFormat="1" applyFont="1" applyFill="1" applyBorder="1" applyAlignment="1">
      <alignment vertical="center"/>
    </xf>
    <xf numFmtId="178" fontId="4" fillId="0" borderId="0" xfId="77" applyNumberFormat="1" applyFont="1" applyAlignment="1">
      <alignment/>
    </xf>
    <xf numFmtId="178" fontId="7" fillId="0" borderId="0" xfId="77" applyNumberFormat="1" applyFont="1" applyAlignment="1">
      <alignment/>
    </xf>
    <xf numFmtId="9" fontId="7" fillId="0" borderId="0" xfId="86" applyFont="1" applyAlignment="1">
      <alignment/>
    </xf>
    <xf numFmtId="180" fontId="41" fillId="0" borderId="81" xfId="86" applyNumberFormat="1" applyFont="1" applyBorder="1" applyAlignment="1">
      <alignment horizontal="center" vertical="center"/>
    </xf>
    <xf numFmtId="39" fontId="30" fillId="0" borderId="0" xfId="0" applyNumberFormat="1" applyFont="1" applyBorder="1" applyAlignment="1">
      <alignment vertical="center"/>
    </xf>
    <xf numFmtId="10" fontId="30" fillId="0" borderId="0" xfId="86" applyNumberFormat="1" applyFont="1" applyBorder="1" applyAlignment="1">
      <alignment vertical="center"/>
    </xf>
    <xf numFmtId="39" fontId="7" fillId="0" borderId="0" xfId="0" applyNumberFormat="1" applyFont="1" applyAlignment="1">
      <alignment/>
    </xf>
    <xf numFmtId="165" fontId="9" fillId="0" borderId="0" xfId="106" applyFont="1" applyBorder="1" applyAlignment="1">
      <alignment/>
    </xf>
    <xf numFmtId="10" fontId="30" fillId="0" borderId="0" xfId="86" applyNumberFormat="1" applyFont="1" applyFill="1" applyBorder="1" applyAlignment="1">
      <alignment vertical="center"/>
    </xf>
    <xf numFmtId="181" fontId="0" fillId="24" borderId="0" xfId="0" applyNumberFormat="1" applyFont="1" applyFill="1" applyBorder="1" applyAlignment="1">
      <alignment/>
    </xf>
    <xf numFmtId="37" fontId="32" fillId="0" borderId="34" xfId="0" applyFont="1" applyFill="1" applyBorder="1" applyAlignment="1">
      <alignment vertical="center"/>
    </xf>
    <xf numFmtId="37" fontId="32" fillId="0" borderId="19" xfId="0" applyFont="1" applyFill="1" applyBorder="1" applyAlignment="1">
      <alignment vertical="center"/>
    </xf>
    <xf numFmtId="37" fontId="32" fillId="0" borderId="23" xfId="0" applyFont="1" applyFill="1" applyBorder="1" applyAlignment="1">
      <alignment vertical="center"/>
    </xf>
    <xf numFmtId="9" fontId="11" fillId="49" borderId="35" xfId="86" applyFont="1" applyFill="1" applyBorder="1" applyAlignment="1">
      <alignment horizontal="right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horizontal="left"/>
    </xf>
    <xf numFmtId="184" fontId="0" fillId="0" borderId="0" xfId="0" applyNumberFormat="1" applyBorder="1" applyAlignment="1">
      <alignment/>
    </xf>
    <xf numFmtId="37" fontId="0" fillId="0" borderId="0" xfId="0" applyBorder="1" applyAlignment="1">
      <alignment horizontal="left" indent="1"/>
    </xf>
    <xf numFmtId="9" fontId="4" fillId="0" borderId="0" xfId="86" applyFont="1" applyBorder="1" applyAlignment="1">
      <alignment/>
    </xf>
    <xf numFmtId="182" fontId="4" fillId="0" borderId="0" xfId="0" applyNumberFormat="1" applyFont="1" applyBorder="1" applyAlignment="1">
      <alignment/>
    </xf>
    <xf numFmtId="37" fontId="7" fillId="0" borderId="0" xfId="0" applyFont="1" applyBorder="1" applyAlignment="1">
      <alignment/>
    </xf>
    <xf numFmtId="184" fontId="42" fillId="0" borderId="0" xfId="0" applyNumberFormat="1" applyFont="1" applyBorder="1" applyAlignment="1">
      <alignment/>
    </xf>
    <xf numFmtId="9" fontId="7" fillId="0" borderId="0" xfId="86" applyFont="1" applyBorder="1" applyAlignment="1">
      <alignment/>
    </xf>
    <xf numFmtId="37" fontId="7" fillId="0" borderId="84" xfId="0" applyFont="1" applyBorder="1" applyAlignment="1">
      <alignment/>
    </xf>
    <xf numFmtId="37" fontId="7" fillId="0" borderId="85" xfId="0" applyFont="1" applyBorder="1" applyAlignment="1">
      <alignment/>
    </xf>
    <xf numFmtId="181" fontId="0" fillId="50" borderId="0" xfId="0" applyNumberFormat="1" applyFont="1" applyFill="1" applyBorder="1" applyAlignment="1">
      <alignment/>
    </xf>
    <xf numFmtId="10" fontId="7" fillId="50" borderId="0" xfId="86" applyNumberFormat="1" applyFont="1" applyFill="1" applyAlignment="1">
      <alignment/>
    </xf>
    <xf numFmtId="9" fontId="30" fillId="0" borderId="0" xfId="86" applyFont="1" applyFill="1" applyBorder="1" applyAlignment="1">
      <alignment vertical="center" wrapText="1"/>
    </xf>
    <xf numFmtId="37" fontId="4" fillId="0" borderId="0" xfId="0" applyFont="1" applyFill="1" applyBorder="1" applyAlignment="1">
      <alignment wrapText="1"/>
    </xf>
    <xf numFmtId="37" fontId="30" fillId="0" borderId="0" xfId="82" applyFont="1" applyFill="1" applyBorder="1" applyAlignment="1">
      <alignment vertical="center" wrapText="1"/>
      <protection/>
    </xf>
    <xf numFmtId="39" fontId="30" fillId="0" borderId="86" xfId="0" applyNumberFormat="1" applyFont="1" applyFill="1" applyBorder="1" applyAlignment="1">
      <alignment horizontal="center" vertical="center"/>
    </xf>
    <xf numFmtId="39" fontId="30" fillId="0" borderId="87" xfId="0" applyNumberFormat="1" applyFont="1" applyFill="1" applyBorder="1" applyAlignment="1">
      <alignment horizontal="center" vertical="center"/>
    </xf>
    <xf numFmtId="37" fontId="0" fillId="49" borderId="88" xfId="0" applyFont="1" applyFill="1" applyBorder="1" applyAlignment="1">
      <alignment/>
    </xf>
    <xf numFmtId="37" fontId="0" fillId="49" borderId="89" xfId="0" applyFont="1" applyFill="1" applyBorder="1" applyAlignment="1">
      <alignment/>
    </xf>
    <xf numFmtId="37" fontId="0" fillId="49" borderId="90" xfId="0" applyFont="1" applyFill="1" applyBorder="1" applyAlignment="1">
      <alignment/>
    </xf>
    <xf numFmtId="37" fontId="0" fillId="49" borderId="91" xfId="0" applyFont="1" applyFill="1" applyBorder="1" applyAlignment="1">
      <alignment/>
    </xf>
    <xf numFmtId="9" fontId="11" fillId="49" borderId="36" xfId="86" applyFont="1" applyFill="1" applyBorder="1" applyAlignment="1">
      <alignment horizontal="right" vertical="center"/>
    </xf>
    <xf numFmtId="10" fontId="11" fillId="49" borderId="92" xfId="86" applyNumberFormat="1" applyFont="1" applyFill="1" applyBorder="1" applyAlignment="1">
      <alignment horizontal="right" vertical="center"/>
    </xf>
    <xf numFmtId="10" fontId="11" fillId="49" borderId="93" xfId="86" applyNumberFormat="1" applyFont="1" applyFill="1" applyBorder="1" applyAlignment="1">
      <alignment horizontal="right" vertical="center"/>
    </xf>
    <xf numFmtId="10" fontId="11" fillId="49" borderId="94" xfId="86" applyNumberFormat="1" applyFont="1" applyFill="1" applyBorder="1" applyAlignment="1">
      <alignment horizontal="right" vertical="center"/>
    </xf>
    <xf numFmtId="10" fontId="11" fillId="49" borderId="95" xfId="86" applyNumberFormat="1" applyFont="1" applyFill="1" applyBorder="1" applyAlignment="1">
      <alignment horizontal="right" vertical="center"/>
    </xf>
    <xf numFmtId="37" fontId="38" fillId="0" borderId="42" xfId="0" applyFont="1" applyBorder="1" applyAlignment="1">
      <alignment vertical="center"/>
    </xf>
    <xf numFmtId="37" fontId="38" fillId="30" borderId="0" xfId="0" applyFont="1" applyFill="1" applyBorder="1" applyAlignment="1">
      <alignment horizontal="center" vertical="center"/>
    </xf>
    <xf numFmtId="4" fontId="30" fillId="30" borderId="0" xfId="0" applyNumberFormat="1" applyFont="1" applyFill="1" applyBorder="1" applyAlignment="1">
      <alignment horizontal="right" vertical="center"/>
    </xf>
    <xf numFmtId="37" fontId="4" fillId="30" borderId="0" xfId="0" applyFont="1" applyFill="1" applyAlignment="1">
      <alignment/>
    </xf>
    <xf numFmtId="171" fontId="31" fillId="0" borderId="0" xfId="106" applyNumberFormat="1" applyFont="1" applyFill="1" applyBorder="1" applyAlignment="1">
      <alignment/>
    </xf>
    <xf numFmtId="39" fontId="30" fillId="0" borderId="30" xfId="0" applyNumberFormat="1" applyFont="1" applyFill="1" applyBorder="1" applyAlignment="1">
      <alignment vertical="center"/>
    </xf>
    <xf numFmtId="37" fontId="0" fillId="51" borderId="30" xfId="0" applyFont="1" applyFill="1" applyBorder="1" applyAlignment="1">
      <alignment horizontal="center" vertical="center"/>
    </xf>
    <xf numFmtId="37" fontId="79" fillId="0" borderId="0" xfId="0" applyFont="1" applyAlignment="1">
      <alignment/>
    </xf>
    <xf numFmtId="9" fontId="31" fillId="0" borderId="0" xfId="86" applyFont="1" applyAlignment="1">
      <alignment/>
    </xf>
    <xf numFmtId="10" fontId="9" fillId="0" borderId="0" xfId="86" applyNumberFormat="1" applyFont="1" applyAlignment="1">
      <alignment/>
    </xf>
    <xf numFmtId="37" fontId="33" fillId="49" borderId="43" xfId="0" applyFont="1" applyFill="1" applyBorder="1" applyAlignment="1">
      <alignment vertical="center" wrapText="1"/>
    </xf>
    <xf numFmtId="181" fontId="33" fillId="49" borderId="43" xfId="0" applyNumberFormat="1" applyFont="1" applyFill="1" applyBorder="1" applyAlignment="1">
      <alignment vertical="center" wrapText="1"/>
    </xf>
    <xf numFmtId="181" fontId="0" fillId="24" borderId="0" xfId="0" applyNumberFormat="1" applyFont="1" applyFill="1" applyBorder="1" applyAlignment="1">
      <alignment/>
    </xf>
    <xf numFmtId="17" fontId="11" fillId="0" borderId="27" xfId="0" applyNumberFormat="1" applyFont="1" applyBorder="1" applyAlignment="1">
      <alignment vertical="top"/>
    </xf>
    <xf numFmtId="0" fontId="33" fillId="49" borderId="43" xfId="0" applyNumberFormat="1" applyFont="1" applyFill="1" applyBorder="1" applyAlignment="1">
      <alignment vertical="center" wrapText="1"/>
    </xf>
    <xf numFmtId="17" fontId="11" fillId="0" borderId="96" xfId="0" applyNumberFormat="1" applyFont="1" applyFill="1" applyBorder="1" applyAlignment="1">
      <alignment vertical="top"/>
    </xf>
    <xf numFmtId="37" fontId="0" fillId="0" borderId="97" xfId="0" applyBorder="1" applyAlignment="1">
      <alignment/>
    </xf>
    <xf numFmtId="10" fontId="0" fillId="0" borderId="98" xfId="86" applyNumberFormat="1" applyFont="1" applyBorder="1" applyAlignment="1">
      <alignment/>
    </xf>
    <xf numFmtId="37" fontId="0" fillId="51" borderId="31" xfId="0" applyFont="1" applyFill="1" applyBorder="1" applyAlignment="1">
      <alignment horizontal="center" vertical="center"/>
    </xf>
    <xf numFmtId="37" fontId="0" fillId="0" borderId="99" xfId="0" applyBorder="1" applyAlignment="1">
      <alignment/>
    </xf>
    <xf numFmtId="37" fontId="0" fillId="0" borderId="100" xfId="0" applyBorder="1" applyAlignment="1">
      <alignment/>
    </xf>
    <xf numFmtId="3" fontId="0" fillId="52" borderId="30" xfId="0" applyNumberFormat="1" applyFont="1" applyFill="1" applyBorder="1" applyAlignment="1">
      <alignment horizontal="center" vertical="center"/>
    </xf>
    <xf numFmtId="182" fontId="4" fillId="0" borderId="0" xfId="0" applyNumberFormat="1" applyFont="1" applyAlignment="1">
      <alignment/>
    </xf>
    <xf numFmtId="176" fontId="30" fillId="53" borderId="0" xfId="82" applyNumberFormat="1" applyFont="1" applyFill="1">
      <alignment/>
      <protection/>
    </xf>
    <xf numFmtId="196" fontId="4" fillId="0" borderId="0" xfId="0" applyNumberFormat="1" applyFont="1" applyAlignment="1">
      <alignment/>
    </xf>
    <xf numFmtId="9" fontId="0" fillId="0" borderId="0" xfId="86" applyFont="1" applyAlignment="1">
      <alignment/>
    </xf>
    <xf numFmtId="10" fontId="7" fillId="0" borderId="0" xfId="86" applyNumberFormat="1" applyFont="1" applyAlignment="1">
      <alignment/>
    </xf>
    <xf numFmtId="37" fontId="0" fillId="0" borderId="101" xfId="0" applyBorder="1" applyAlignment="1">
      <alignment/>
    </xf>
    <xf numFmtId="37" fontId="0" fillId="0" borderId="102" xfId="0" applyBorder="1" applyAlignment="1">
      <alignment/>
    </xf>
    <xf numFmtId="37" fontId="0" fillId="0" borderId="103" xfId="0" applyBorder="1" applyAlignment="1">
      <alignment/>
    </xf>
    <xf numFmtId="37" fontId="0" fillId="0" borderId="104" xfId="0" applyBorder="1" applyAlignment="1">
      <alignment/>
    </xf>
    <xf numFmtId="37" fontId="0" fillId="0" borderId="101" xfId="0" applyBorder="1" applyAlignment="1">
      <alignment/>
    </xf>
    <xf numFmtId="37" fontId="0" fillId="0" borderId="105" xfId="0" applyBorder="1" applyAlignment="1">
      <alignment/>
    </xf>
    <xf numFmtId="37" fontId="0" fillId="0" borderId="106" xfId="0" applyBorder="1" applyAlignment="1">
      <alignment/>
    </xf>
    <xf numFmtId="37" fontId="0" fillId="0" borderId="107" xfId="0" applyBorder="1" applyAlignment="1">
      <alignment/>
    </xf>
    <xf numFmtId="37" fontId="0" fillId="0" borderId="108" xfId="0" applyBorder="1" applyAlignment="1">
      <alignment/>
    </xf>
    <xf numFmtId="37" fontId="0" fillId="0" borderId="101" xfId="0" applyNumberFormat="1" applyBorder="1" applyAlignment="1">
      <alignment/>
    </xf>
    <xf numFmtId="37" fontId="0" fillId="0" borderId="105" xfId="0" applyNumberFormat="1" applyBorder="1" applyAlignment="1">
      <alignment/>
    </xf>
    <xf numFmtId="37" fontId="0" fillId="0" borderId="106" xfId="0" applyNumberFormat="1" applyBorder="1" applyAlignment="1">
      <alignment/>
    </xf>
    <xf numFmtId="37" fontId="0" fillId="0" borderId="107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109" xfId="0" applyNumberFormat="1" applyBorder="1" applyAlignment="1">
      <alignment/>
    </xf>
    <xf numFmtId="37" fontId="0" fillId="0" borderId="108" xfId="0" applyNumberFormat="1" applyBorder="1" applyAlignment="1">
      <alignment/>
    </xf>
    <xf numFmtId="37" fontId="0" fillId="0" borderId="110" xfId="0" applyNumberFormat="1" applyBorder="1" applyAlignment="1">
      <alignment/>
    </xf>
    <xf numFmtId="37" fontId="0" fillId="0" borderId="111" xfId="0" applyNumberFormat="1" applyBorder="1" applyAlignment="1">
      <alignment/>
    </xf>
    <xf numFmtId="37" fontId="0" fillId="0" borderId="112" xfId="0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8" fillId="54" borderId="0" xfId="0" applyNumberFormat="1" applyFont="1" applyFill="1" applyAlignment="1">
      <alignment/>
    </xf>
    <xf numFmtId="0" fontId="78" fillId="54" borderId="113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78" fillId="54" borderId="114" xfId="0" applyNumberFormat="1" applyFont="1" applyFill="1" applyBorder="1" applyAlignment="1">
      <alignment horizontal="left"/>
    </xf>
    <xf numFmtId="0" fontId="78" fillId="54" borderId="114" xfId="0" applyNumberFormat="1" applyFont="1" applyFill="1" applyBorder="1" applyAlignment="1">
      <alignment/>
    </xf>
    <xf numFmtId="37" fontId="80" fillId="0" borderId="0" xfId="0" applyFont="1" applyAlignment="1">
      <alignment/>
    </xf>
    <xf numFmtId="37" fontId="80" fillId="0" borderId="0" xfId="0" applyFont="1" applyFill="1" applyBorder="1" applyAlignment="1">
      <alignment/>
    </xf>
    <xf numFmtId="39" fontId="80" fillId="0" borderId="0" xfId="0" applyNumberFormat="1" applyFont="1" applyFill="1" applyBorder="1" applyAlignment="1">
      <alignment/>
    </xf>
    <xf numFmtId="203" fontId="11" fillId="0" borderId="62" xfId="0" applyNumberFormat="1" applyFont="1" applyFill="1" applyBorder="1" applyAlignment="1">
      <alignment horizontal="right" vertical="center"/>
    </xf>
    <xf numFmtId="37" fontId="0" fillId="0" borderId="115" xfId="0" applyFont="1" applyBorder="1" applyAlignment="1">
      <alignment horizontal="center"/>
    </xf>
    <xf numFmtId="37" fontId="0" fillId="0" borderId="0" xfId="0" applyFont="1" applyAlignment="1">
      <alignment horizontal="center"/>
    </xf>
    <xf numFmtId="10" fontId="0" fillId="0" borderId="115" xfId="86" applyNumberFormat="1" applyFont="1" applyBorder="1" applyAlignment="1">
      <alignment horizontal="center"/>
    </xf>
    <xf numFmtId="10" fontId="0" fillId="0" borderId="0" xfId="86" applyNumberFormat="1" applyFont="1" applyAlignment="1">
      <alignment horizontal="center"/>
    </xf>
    <xf numFmtId="37" fontId="11" fillId="22" borderId="77" xfId="0" applyFont="1" applyFill="1" applyBorder="1" applyAlignment="1">
      <alignment horizontal="left" vertical="center"/>
    </xf>
    <xf numFmtId="37" fontId="11" fillId="22" borderId="78" xfId="0" applyFont="1" applyFill="1" applyBorder="1" applyAlignment="1">
      <alignment horizontal="left" vertical="center"/>
    </xf>
    <xf numFmtId="37" fontId="33" fillId="49" borderId="0" xfId="0" applyFont="1" applyFill="1" applyBorder="1" applyAlignment="1">
      <alignment horizontal="center" vertical="center" wrapText="1"/>
    </xf>
    <xf numFmtId="0" fontId="0" fillId="0" borderId="116" xfId="106" applyNumberFormat="1" applyFont="1" applyBorder="1" applyAlignment="1">
      <alignment horizontal="center" vertical="center" wrapText="1"/>
    </xf>
    <xf numFmtId="0" fontId="0" fillId="0" borderId="117" xfId="106" applyNumberFormat="1" applyFont="1" applyBorder="1" applyAlignment="1">
      <alignment horizontal="center" vertical="center" wrapText="1"/>
    </xf>
    <xf numFmtId="0" fontId="0" fillId="0" borderId="118" xfId="106" applyNumberFormat="1" applyFont="1" applyBorder="1" applyAlignment="1">
      <alignment horizontal="center" vertical="center" wrapText="1"/>
    </xf>
    <xf numFmtId="37" fontId="0" fillId="0" borderId="116" xfId="0" applyFont="1" applyBorder="1" applyAlignment="1">
      <alignment horizontal="center" vertical="center" wrapText="1"/>
    </xf>
    <xf numFmtId="37" fontId="0" fillId="0" borderId="117" xfId="0" applyFont="1" applyBorder="1" applyAlignment="1">
      <alignment horizontal="center" vertical="center" wrapText="1"/>
    </xf>
    <xf numFmtId="37" fontId="0" fillId="0" borderId="118" xfId="0" applyFont="1" applyBorder="1" applyAlignment="1">
      <alignment horizontal="center" vertical="center" wrapText="1"/>
    </xf>
    <xf numFmtId="37" fontId="30" fillId="0" borderId="119" xfId="0" applyFont="1" applyFill="1" applyBorder="1" applyAlignment="1">
      <alignment horizontal="left" vertical="center"/>
    </xf>
    <xf numFmtId="37" fontId="30" fillId="0" borderId="70" xfId="0" applyFont="1" applyFill="1" applyBorder="1" applyAlignment="1">
      <alignment horizontal="left" vertical="center"/>
    </xf>
    <xf numFmtId="37" fontId="30" fillId="0" borderId="44" xfId="0" applyFont="1" applyFill="1" applyBorder="1" applyAlignment="1">
      <alignment horizontal="left" vertical="center"/>
    </xf>
    <xf numFmtId="37" fontId="30" fillId="0" borderId="63" xfId="0" applyFont="1" applyFill="1" applyBorder="1" applyAlignment="1">
      <alignment horizontal="left" vertical="center"/>
    </xf>
    <xf numFmtId="37" fontId="38" fillId="0" borderId="51" xfId="0" applyFont="1" applyBorder="1" applyAlignment="1">
      <alignment horizontal="center" vertical="center"/>
    </xf>
    <xf numFmtId="37" fontId="38" fillId="0" borderId="48" xfId="0" applyFont="1" applyBorder="1" applyAlignment="1">
      <alignment horizontal="center" vertical="center"/>
    </xf>
    <xf numFmtId="37" fontId="38" fillId="0" borderId="120" xfId="0" applyFont="1" applyBorder="1" applyAlignment="1">
      <alignment horizontal="center" vertical="center"/>
    </xf>
    <xf numFmtId="37" fontId="31" fillId="22" borderId="0" xfId="0" applyFont="1" applyFill="1" applyAlignment="1">
      <alignment horizontal="center" vertical="center"/>
    </xf>
    <xf numFmtId="37" fontId="30" fillId="30" borderId="0" xfId="0" applyFont="1" applyFill="1" applyBorder="1" applyAlignment="1">
      <alignment horizontal="center" vertical="center"/>
    </xf>
    <xf numFmtId="39" fontId="31" fillId="0" borderId="42" xfId="0" applyNumberFormat="1" applyFont="1" applyFill="1" applyBorder="1" applyAlignment="1">
      <alignment horizontal="center" vertical="center"/>
    </xf>
    <xf numFmtId="39" fontId="31" fillId="0" borderId="56" xfId="0" applyNumberFormat="1" applyFont="1" applyFill="1" applyBorder="1" applyAlignment="1">
      <alignment horizontal="center" vertical="center"/>
    </xf>
    <xf numFmtId="37" fontId="11" fillId="30" borderId="34" xfId="0" applyFont="1" applyFill="1" applyBorder="1" applyAlignment="1">
      <alignment horizontal="center" vertical="center"/>
    </xf>
    <xf numFmtId="37" fontId="11" fillId="30" borderId="35" xfId="0" applyFont="1" applyFill="1" applyBorder="1" applyAlignment="1">
      <alignment horizontal="center" vertical="center"/>
    </xf>
    <xf numFmtId="37" fontId="11" fillId="30" borderId="79" xfId="0" applyFont="1" applyFill="1" applyBorder="1" applyAlignment="1">
      <alignment horizontal="center" vertical="center"/>
    </xf>
    <xf numFmtId="37" fontId="11" fillId="30" borderId="36" xfId="0" applyFont="1" applyFill="1" applyBorder="1" applyAlignment="1">
      <alignment horizontal="center" vertical="center"/>
    </xf>
    <xf numFmtId="169" fontId="11" fillId="22" borderId="76" xfId="0" applyNumberFormat="1" applyFont="1" applyFill="1" applyBorder="1" applyAlignment="1">
      <alignment horizontal="center" vertical="center"/>
    </xf>
    <xf numFmtId="169" fontId="11" fillId="22" borderId="77" xfId="0" applyNumberFormat="1" applyFont="1" applyFill="1" applyBorder="1" applyAlignment="1">
      <alignment horizontal="center" vertical="center"/>
    </xf>
    <xf numFmtId="165" fontId="30" fillId="0" borderId="44" xfId="106" applyFont="1" applyFill="1" applyBorder="1" applyAlignment="1">
      <alignment horizontal="left" vertical="center"/>
    </xf>
    <xf numFmtId="165" fontId="30" fillId="0" borderId="63" xfId="106" applyFont="1" applyFill="1" applyBorder="1" applyAlignment="1">
      <alignment horizontal="left" vertical="center"/>
    </xf>
    <xf numFmtId="37" fontId="7" fillId="49" borderId="115" xfId="0" applyFont="1" applyFill="1" applyBorder="1" applyAlignment="1">
      <alignment horizontal="center" vertical="center" wrapText="1"/>
    </xf>
    <xf numFmtId="37" fontId="7" fillId="49" borderId="121" xfId="0" applyFont="1" applyFill="1" applyBorder="1" applyAlignment="1">
      <alignment horizontal="center" vertical="center" wrapText="1"/>
    </xf>
    <xf numFmtId="37" fontId="7" fillId="49" borderId="122" xfId="0" applyFont="1" applyFill="1" applyBorder="1" applyAlignment="1">
      <alignment horizontal="center" vertical="center" wrapText="1"/>
    </xf>
    <xf numFmtId="37" fontId="7" fillId="49" borderId="123" xfId="0" applyFont="1" applyFill="1" applyBorder="1" applyAlignment="1">
      <alignment horizontal="center" vertical="center" wrapText="1"/>
    </xf>
    <xf numFmtId="37" fontId="38" fillId="0" borderId="42" xfId="0" applyFont="1" applyBorder="1" applyAlignment="1">
      <alignment horizontal="center" vertical="center"/>
    </xf>
    <xf numFmtId="37" fontId="30" fillId="0" borderId="42" xfId="82" applyFont="1" applyBorder="1" applyAlignment="1">
      <alignment horizontal="center" vertical="center"/>
      <protection/>
    </xf>
    <xf numFmtId="177" fontId="30" fillId="49" borderId="0" xfId="82" applyNumberFormat="1" applyFont="1" applyFill="1" applyBorder="1" applyAlignment="1">
      <alignment horizontal="center" vertical="center" wrapText="1"/>
      <protection/>
    </xf>
    <xf numFmtId="37" fontId="33" fillId="0" borderId="42" xfId="0" applyFont="1" applyBorder="1" applyAlignment="1">
      <alignment horizontal="center" vertical="center" wrapText="1"/>
    </xf>
    <xf numFmtId="37" fontId="33" fillId="0" borderId="56" xfId="0" applyFont="1" applyBorder="1" applyAlignment="1">
      <alignment horizontal="center" vertical="center" wrapText="1"/>
    </xf>
    <xf numFmtId="37" fontId="30" fillId="0" borderId="77" xfId="82" applyFont="1" applyBorder="1" applyAlignment="1">
      <alignment horizontal="center" vertical="center"/>
      <protection/>
    </xf>
    <xf numFmtId="37" fontId="43" fillId="0" borderId="57" xfId="0" applyNumberFormat="1" applyFont="1" applyBorder="1" applyAlignment="1">
      <alignment horizontal="center"/>
    </xf>
    <xf numFmtId="37" fontId="43" fillId="0" borderId="124" xfId="0" applyNumberFormat="1" applyFont="1" applyBorder="1" applyAlignment="1">
      <alignment horizontal="center"/>
    </xf>
    <xf numFmtId="37" fontId="7" fillId="0" borderId="0" xfId="0" applyFont="1" applyAlignment="1">
      <alignment horizontal="center"/>
    </xf>
    <xf numFmtId="37" fontId="11" fillId="0" borderId="0" xfId="0" applyFont="1" applyFill="1" applyBorder="1" applyAlignment="1">
      <alignment horizontal="center" vertical="center"/>
    </xf>
    <xf numFmtId="37" fontId="38" fillId="0" borderId="66" xfId="82" applyFont="1" applyBorder="1" applyAlignment="1">
      <alignment horizontal="center" vertical="center" wrapText="1"/>
      <protection/>
    </xf>
    <xf numFmtId="37" fontId="38" fillId="0" borderId="42" xfId="82" applyFont="1" applyBorder="1" applyAlignment="1">
      <alignment horizontal="center" vertical="center" wrapText="1"/>
      <protection/>
    </xf>
    <xf numFmtId="177" fontId="30" fillId="49" borderId="0" xfId="0" applyNumberFormat="1" applyFont="1" applyFill="1" applyBorder="1" applyAlignment="1">
      <alignment horizontal="center" vertical="center" wrapText="1"/>
    </xf>
    <xf numFmtId="177" fontId="30" fillId="49" borderId="43" xfId="0" applyNumberFormat="1" applyFont="1" applyFill="1" applyBorder="1" applyAlignment="1">
      <alignment horizontal="center" vertical="center" wrapText="1"/>
    </xf>
    <xf numFmtId="37" fontId="30" fillId="0" borderId="0" xfId="82" applyFont="1" applyAlignment="1">
      <alignment horizontal="center" vertical="center"/>
      <protection/>
    </xf>
    <xf numFmtId="37" fontId="31" fillId="15" borderId="64" xfId="0" applyFont="1" applyFill="1" applyBorder="1" applyAlignment="1">
      <alignment vertical="center"/>
    </xf>
    <xf numFmtId="3" fontId="31" fillId="0" borderId="50" xfId="106" applyNumberFormat="1" applyFont="1" applyFill="1" applyBorder="1" applyAlignment="1">
      <alignment horizontal="right" vertical="center" indent="1"/>
    </xf>
    <xf numFmtId="3" fontId="31" fillId="0" borderId="27" xfId="106" applyNumberFormat="1" applyFont="1" applyFill="1" applyBorder="1" applyAlignment="1">
      <alignment horizontal="right" vertical="center" indent="1"/>
    </xf>
    <xf numFmtId="3" fontId="31" fillId="0" borderId="76" xfId="106" applyNumberFormat="1" applyFont="1" applyFill="1" applyBorder="1" applyAlignment="1">
      <alignment horizontal="right" vertical="center"/>
    </xf>
    <xf numFmtId="3" fontId="31" fillId="0" borderId="77" xfId="106" applyNumberFormat="1" applyFont="1" applyFill="1" applyBorder="1" applyAlignment="1">
      <alignment horizontal="right" vertical="center"/>
    </xf>
    <xf numFmtId="37" fontId="31" fillId="6" borderId="33" xfId="0" applyFont="1" applyFill="1" applyBorder="1" applyAlignment="1">
      <alignment horizontal="center" vertical="center"/>
    </xf>
    <xf numFmtId="37" fontId="31" fillId="6" borderId="35" xfId="0" applyFont="1" applyFill="1" applyBorder="1" applyAlignment="1">
      <alignment horizontal="center" vertical="center"/>
    </xf>
    <xf numFmtId="37" fontId="31" fillId="6" borderId="36" xfId="0" applyFont="1" applyFill="1" applyBorder="1" applyAlignment="1">
      <alignment horizontal="center" vertical="center"/>
    </xf>
    <xf numFmtId="9" fontId="31" fillId="0" borderId="50" xfId="86" applyFont="1" applyFill="1" applyBorder="1" applyAlignment="1">
      <alignment horizontal="center" vertical="center"/>
    </xf>
    <xf numFmtId="9" fontId="31" fillId="0" borderId="44" xfId="86" applyFont="1" applyFill="1" applyBorder="1" applyAlignment="1">
      <alignment horizontal="center" vertical="center"/>
    </xf>
    <xf numFmtId="168" fontId="44" fillId="15" borderId="99" xfId="77" applyNumberFormat="1" applyFont="1" applyFill="1" applyBorder="1" applyAlignment="1">
      <alignment horizontal="center" vertical="center"/>
    </xf>
    <xf numFmtId="168" fontId="44" fillId="15" borderId="100" xfId="77" applyNumberFormat="1" applyFont="1" applyFill="1" applyBorder="1" applyAlignment="1">
      <alignment horizontal="center" vertical="center"/>
    </xf>
    <xf numFmtId="170" fontId="34" fillId="6" borderId="76" xfId="0" applyNumberFormat="1" applyFont="1" applyFill="1" applyBorder="1" applyAlignment="1">
      <alignment horizontal="center" vertical="center"/>
    </xf>
    <xf numFmtId="170" fontId="34" fillId="6" borderId="77" xfId="0" applyNumberFormat="1" applyFont="1" applyFill="1" applyBorder="1" applyAlignment="1">
      <alignment horizontal="center" vertical="center"/>
    </xf>
    <xf numFmtId="170" fontId="34" fillId="6" borderId="78" xfId="0" applyNumberFormat="1" applyFont="1" applyFill="1" applyBorder="1" applyAlignment="1">
      <alignment horizontal="center" vertical="center"/>
    </xf>
    <xf numFmtId="168" fontId="40" fillId="6" borderId="76" xfId="0" applyNumberFormat="1" applyFont="1" applyFill="1" applyBorder="1" applyAlignment="1">
      <alignment horizontal="center" vertical="center"/>
    </xf>
    <xf numFmtId="168" fontId="40" fillId="6" borderId="77" xfId="0" applyNumberFormat="1" applyFont="1" applyFill="1" applyBorder="1" applyAlignment="1">
      <alignment horizontal="center" vertical="center"/>
    </xf>
    <xf numFmtId="170" fontId="34" fillId="6" borderId="75" xfId="0" applyNumberFormat="1" applyFont="1" applyFill="1" applyBorder="1" applyAlignment="1">
      <alignment horizontal="center" vertical="center"/>
    </xf>
    <xf numFmtId="170" fontId="34" fillId="6" borderId="119" xfId="0" applyNumberFormat="1" applyFont="1" applyFill="1" applyBorder="1" applyAlignment="1">
      <alignment horizontal="center" vertical="center"/>
    </xf>
    <xf numFmtId="170" fontId="34" fillId="6" borderId="70" xfId="0" applyNumberFormat="1" applyFont="1" applyFill="1" applyBorder="1" applyAlignment="1">
      <alignment horizontal="center" vertical="center"/>
    </xf>
    <xf numFmtId="168" fontId="40" fillId="6" borderId="75" xfId="0" applyNumberFormat="1" applyFont="1" applyFill="1" applyBorder="1" applyAlignment="1">
      <alignment horizontal="center" vertical="center"/>
    </xf>
    <xf numFmtId="168" fontId="40" fillId="6" borderId="119" xfId="0" applyNumberFormat="1" applyFont="1" applyFill="1" applyBorder="1" applyAlignment="1">
      <alignment horizontal="center" vertical="center"/>
    </xf>
    <xf numFmtId="37" fontId="31" fillId="6" borderId="119" xfId="0" applyFont="1" applyFill="1" applyBorder="1" applyAlignment="1">
      <alignment horizontal="left" vertical="center" indent="1"/>
    </xf>
    <xf numFmtId="37" fontId="31" fillId="6" borderId="66" xfId="0" applyFont="1" applyFill="1" applyBorder="1" applyAlignment="1">
      <alignment horizontal="left" vertical="center" indent="1"/>
    </xf>
    <xf numFmtId="37" fontId="31" fillId="6" borderId="34" xfId="0" applyFont="1" applyFill="1" applyBorder="1" applyAlignment="1">
      <alignment horizontal="center" vertical="center"/>
    </xf>
    <xf numFmtId="37" fontId="11" fillId="30" borderId="75" xfId="0" applyFont="1" applyFill="1" applyBorder="1" applyAlignment="1">
      <alignment vertical="center"/>
    </xf>
    <xf numFmtId="37" fontId="11" fillId="30" borderId="119" xfId="0" applyFont="1" applyFill="1" applyBorder="1" applyAlignment="1">
      <alignment vertical="center"/>
    </xf>
    <xf numFmtId="37" fontId="11" fillId="30" borderId="70" xfId="0" applyFont="1" applyFill="1" applyBorder="1" applyAlignment="1">
      <alignment vertical="center"/>
    </xf>
    <xf numFmtId="37" fontId="31" fillId="6" borderId="79" xfId="0" applyFont="1" applyFill="1" applyBorder="1" applyAlignment="1">
      <alignment horizontal="center" vertical="center"/>
    </xf>
    <xf numFmtId="37" fontId="31" fillId="0" borderId="20" xfId="0" applyFont="1" applyFill="1" applyBorder="1" applyAlignment="1">
      <alignment horizontal="center" vertical="center"/>
    </xf>
    <xf numFmtId="37" fontId="31" fillId="0" borderId="30" xfId="0" applyFont="1" applyFill="1" applyBorder="1" applyAlignment="1">
      <alignment horizontal="center" vertical="center"/>
    </xf>
    <xf numFmtId="3" fontId="31" fillId="0" borderId="30" xfId="106" applyNumberFormat="1" applyFont="1" applyFill="1" applyBorder="1" applyAlignment="1">
      <alignment horizontal="right" vertical="center" indent="1"/>
    </xf>
    <xf numFmtId="3" fontId="31" fillId="0" borderId="50" xfId="106" applyNumberFormat="1" applyFont="1" applyFill="1" applyBorder="1" applyAlignment="1">
      <alignment horizontal="right" vertical="center"/>
    </xf>
    <xf numFmtId="3" fontId="31" fillId="0" borderId="44" xfId="106" applyNumberFormat="1" applyFont="1" applyFill="1" applyBorder="1" applyAlignment="1">
      <alignment horizontal="right" vertical="center"/>
    </xf>
    <xf numFmtId="3" fontId="31" fillId="0" borderId="19" xfId="106" applyNumberFormat="1" applyFont="1" applyFill="1" applyBorder="1" applyAlignment="1">
      <alignment horizontal="center" vertical="center"/>
    </xf>
    <xf numFmtId="3" fontId="31" fillId="0" borderId="30" xfId="106" applyNumberFormat="1" applyFont="1" applyFill="1" applyBorder="1" applyAlignment="1">
      <alignment horizontal="center" vertical="center"/>
    </xf>
    <xf numFmtId="3" fontId="31" fillId="0" borderId="20" xfId="106" applyNumberFormat="1" applyFont="1" applyFill="1" applyBorder="1" applyAlignment="1">
      <alignment horizontal="right" vertical="center" indent="3" shrinkToFit="1"/>
    </xf>
    <xf numFmtId="37" fontId="45" fillId="0" borderId="0" xfId="0" applyFont="1" applyBorder="1" applyAlignment="1">
      <alignment horizontal="center" vertical="center"/>
    </xf>
    <xf numFmtId="37" fontId="11" fillId="0" borderId="77" xfId="0" applyFont="1" applyFill="1" applyBorder="1" applyAlignment="1">
      <alignment horizontal="left" vertical="center" indent="1"/>
    </xf>
    <xf numFmtId="37" fontId="11" fillId="0" borderId="78" xfId="0" applyFont="1" applyFill="1" applyBorder="1" applyAlignment="1">
      <alignment horizontal="left" vertical="center" indent="1"/>
    </xf>
    <xf numFmtId="4" fontId="31" fillId="0" borderId="27" xfId="106" applyNumberFormat="1" applyFont="1" applyFill="1" applyBorder="1" applyAlignment="1">
      <alignment horizontal="right" vertical="center" indent="3" shrinkToFit="1"/>
    </xf>
    <xf numFmtId="4" fontId="31" fillId="0" borderId="20" xfId="106" applyNumberFormat="1" applyFont="1" applyFill="1" applyBorder="1" applyAlignment="1">
      <alignment horizontal="right" vertical="center" indent="3" shrinkToFit="1"/>
    </xf>
    <xf numFmtId="3" fontId="31" fillId="0" borderId="27" xfId="106" applyNumberFormat="1" applyFont="1" applyFill="1" applyBorder="1" applyAlignment="1">
      <alignment horizontal="right" vertical="center" indent="3" shrinkToFit="1"/>
    </xf>
    <xf numFmtId="37" fontId="31" fillId="0" borderId="19" xfId="0" applyFont="1" applyFill="1" applyBorder="1" applyAlignment="1">
      <alignment horizontal="center" vertical="center"/>
    </xf>
    <xf numFmtId="37" fontId="38" fillId="6" borderId="34" xfId="0" applyFont="1" applyFill="1" applyBorder="1" applyAlignment="1">
      <alignment horizontal="center" vertical="center"/>
    </xf>
    <xf numFmtId="37" fontId="38" fillId="6" borderId="36" xfId="0" applyFont="1" applyFill="1" applyBorder="1" applyAlignment="1">
      <alignment horizontal="center" vertical="center"/>
    </xf>
    <xf numFmtId="37" fontId="9" fillId="0" borderId="0" xfId="0" applyFont="1" applyAlignment="1">
      <alignment horizontal="center"/>
    </xf>
    <xf numFmtId="37" fontId="38" fillId="6" borderId="33" xfId="0" applyFont="1" applyFill="1" applyBorder="1" applyAlignment="1">
      <alignment horizontal="center" vertical="center"/>
    </xf>
    <xf numFmtId="37" fontId="38" fillId="6" borderId="35" xfId="0" applyFont="1" applyFill="1" applyBorder="1" applyAlignment="1">
      <alignment horizontal="center" vertical="center"/>
    </xf>
    <xf numFmtId="3" fontId="31" fillId="0" borderId="30" xfId="106" applyNumberFormat="1" applyFont="1" applyFill="1" applyBorder="1" applyAlignment="1">
      <alignment horizontal="right" vertical="center" indent="3" shrinkToFit="1"/>
    </xf>
    <xf numFmtId="4" fontId="31" fillId="0" borderId="30" xfId="106" applyNumberFormat="1" applyFont="1" applyFill="1" applyBorder="1" applyAlignment="1">
      <alignment horizontal="right" vertical="center" indent="3" shrinkToFit="1"/>
    </xf>
    <xf numFmtId="37" fontId="31" fillId="0" borderId="27" xfId="0" applyFont="1" applyFill="1" applyBorder="1" applyAlignment="1">
      <alignment horizontal="center" vertical="center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PASSAGEIROS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2125"/>
          <c:w val="0.81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'PASSAGEIROS GRAFICO'!$B$2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'PASSAGEIROS GRAFICO'!$A$3:$A$14</c:f>
              <c:strCache/>
            </c:strRef>
          </c:cat>
          <c:val>
            <c:numRef>
              <c:f>'PASSAGEIROS GRAFICO'!$B$3:$B$14</c:f>
              <c:numCache/>
            </c:numRef>
          </c:val>
          <c:smooth val="0"/>
        </c:ser>
        <c:ser>
          <c:idx val="1"/>
          <c:order val="1"/>
          <c:tx>
            <c:strRef>
              <c:f>'PASSAGEIROS GRAFICO'!$C$2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'PASSAGEIROS GRAFICO'!$A$3:$A$14</c:f>
              <c:strCache/>
            </c:strRef>
          </c:cat>
          <c:val>
            <c:numRef>
              <c:f>'PASSAGEIROS GRAFICO'!$C$3:$C$14</c:f>
              <c:numCache/>
            </c:numRef>
          </c:val>
          <c:smooth val="0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  <c:max val="2500000"/>
          <c:min val="18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34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8925"/>
          <c:w val="0.102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[0]FROTA TIPO DE COMBUSTIVEL!Tabela dinâmica2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UTILIZAÇÃO S10</a:t>
            </a:r>
          </a:p>
        </c:rich>
      </c:tx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Contagem de PREFIXO Total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2"/>
              <c:pt idx="0">
                <c:v>S10
ARTICULADO</c:v>
              </c:pt>
              <c:pt idx="1">
                <c:v>s500</c:v>
              </c:pt>
              <c:pt idx="2">
                <c:v>ARTICULADO Total</c:v>
              </c:pt>
              <c:pt idx="3">
                <c:v>S10
COMUM</c:v>
              </c:pt>
              <c:pt idx="4">
                <c:v>s500</c:v>
              </c:pt>
              <c:pt idx="5">
                <c:v>COMUM Total</c:v>
              </c:pt>
              <c:pt idx="6">
                <c:v>S10
MID BUS</c:v>
              </c:pt>
              <c:pt idx="7">
                <c:v>s500</c:v>
              </c:pt>
              <c:pt idx="8">
                <c:v>MID BUS Total</c:v>
              </c:pt>
              <c:pt idx="9">
                <c:v>(vazio)
(vazio)</c:v>
              </c:pt>
              <c:pt idx="10">
                <c:v>(vazio) Total</c:v>
              </c:pt>
              <c:pt idx="11">
                <c:v>Total Geral</c:v>
              </c:pt>
            </c:strLit>
          </c:cat>
          <c:val>
            <c:numLit>
              <c:ptCount val="12"/>
              <c:pt idx="0">
                <c:v>10</c:v>
              </c:pt>
              <c:pt idx="1">
                <c:v>10</c:v>
              </c:pt>
              <c:pt idx="2">
                <c:v>20</c:v>
              </c:pt>
              <c:pt idx="3">
                <c:v>68</c:v>
              </c:pt>
              <c:pt idx="4">
                <c:v>88</c:v>
              </c:pt>
              <c:pt idx="5">
                <c:v>156</c:v>
              </c:pt>
              <c:pt idx="6">
                <c:v>15</c:v>
              </c:pt>
              <c:pt idx="7">
                <c:v>26</c:v>
              </c:pt>
              <c:pt idx="8">
                <c:v>41</c:v>
              </c:pt>
              <c:pt idx="11">
                <c:v>217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[0]FROTA TIPO DE COMBUSTIVEL!Tabela dinâmica2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UTILIZAÇÃO S500</a:t>
            </a:r>
          </a:p>
        </c:rich>
      </c:tx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Contagem de PREFIXO Total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2"/>
              <c:pt idx="0">
                <c:v>S10
ARTICULADO</c:v>
              </c:pt>
              <c:pt idx="1">
                <c:v>s500</c:v>
              </c:pt>
              <c:pt idx="2">
                <c:v>ARTICULADO Total</c:v>
              </c:pt>
              <c:pt idx="3">
                <c:v>S10
COMUM</c:v>
              </c:pt>
              <c:pt idx="4">
                <c:v>s500</c:v>
              </c:pt>
              <c:pt idx="5">
                <c:v>COMUM Total</c:v>
              </c:pt>
              <c:pt idx="6">
                <c:v>S10
MID BUS</c:v>
              </c:pt>
              <c:pt idx="7">
                <c:v>s500</c:v>
              </c:pt>
              <c:pt idx="8">
                <c:v>MID BUS Total</c:v>
              </c:pt>
              <c:pt idx="9">
                <c:v>(vazio)
(vazio)</c:v>
              </c:pt>
              <c:pt idx="10">
                <c:v>(vazio) Total</c:v>
              </c:pt>
              <c:pt idx="11">
                <c:v>Total Geral</c:v>
              </c:pt>
            </c:strLit>
          </c:cat>
          <c:val>
            <c:numLit>
              <c:ptCount val="12"/>
              <c:pt idx="0">
                <c:v>10</c:v>
              </c:pt>
              <c:pt idx="1">
                <c:v>10</c:v>
              </c:pt>
              <c:pt idx="2">
                <c:v>20</c:v>
              </c:pt>
              <c:pt idx="3">
                <c:v>68</c:v>
              </c:pt>
              <c:pt idx="4">
                <c:v>88</c:v>
              </c:pt>
              <c:pt idx="5">
                <c:v>156</c:v>
              </c:pt>
              <c:pt idx="6">
                <c:v>15</c:v>
              </c:pt>
              <c:pt idx="7">
                <c:v>26</c:v>
              </c:pt>
              <c:pt idx="8">
                <c:v>41</c:v>
              </c:pt>
              <c:pt idx="11">
                <c:v>217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[0]FROTA TIPO DE COMBUSTIVEL!Tabela dinâmica2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FROTA TOTAL </a:t>
            </a:r>
          </a:p>
        </c:rich>
      </c:tx>
      <c:layout>
        <c:manualLayout>
          <c:xMode val="factor"/>
          <c:yMode val="factor"/>
          <c:x val="-0.002"/>
          <c:y val="0.0765"/>
        </c:manualLayout>
      </c:layout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Contagem de PREFIXO Total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2"/>
              <c:pt idx="0">
                <c:v>S10
ARTICULADO</c:v>
              </c:pt>
              <c:pt idx="1">
                <c:v>s500</c:v>
              </c:pt>
              <c:pt idx="2">
                <c:v>ARTICULADO Total</c:v>
              </c:pt>
              <c:pt idx="3">
                <c:v>S10
COMUM</c:v>
              </c:pt>
              <c:pt idx="4">
                <c:v>s500</c:v>
              </c:pt>
              <c:pt idx="5">
                <c:v>COMUM Total</c:v>
              </c:pt>
              <c:pt idx="6">
                <c:v>S10
MID BUS</c:v>
              </c:pt>
              <c:pt idx="7">
                <c:v>s500</c:v>
              </c:pt>
              <c:pt idx="8">
                <c:v>MID BUS Total</c:v>
              </c:pt>
              <c:pt idx="9">
                <c:v>(vazio)
(vazio)</c:v>
              </c:pt>
              <c:pt idx="10">
                <c:v>(vazio) Total</c:v>
              </c:pt>
              <c:pt idx="11">
                <c:v>Total Geral</c:v>
              </c:pt>
            </c:strLit>
          </c:cat>
          <c:val>
            <c:numLit>
              <c:ptCount val="12"/>
              <c:pt idx="0">
                <c:v>10</c:v>
              </c:pt>
              <c:pt idx="1">
                <c:v>10</c:v>
              </c:pt>
              <c:pt idx="2">
                <c:v>20</c:v>
              </c:pt>
              <c:pt idx="3">
                <c:v>68</c:v>
              </c:pt>
              <c:pt idx="4">
                <c:v>88</c:v>
              </c:pt>
              <c:pt idx="5">
                <c:v>156</c:v>
              </c:pt>
              <c:pt idx="6">
                <c:v>15</c:v>
              </c:pt>
              <c:pt idx="7">
                <c:v>26</c:v>
              </c:pt>
              <c:pt idx="8">
                <c:v>41</c:v>
              </c:pt>
              <c:pt idx="11">
                <c:v>217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[0]FROTA TIPO DE COMBUSTIVEL!Tabela dinâmica3</c:name>
  </c:pivotSource>
  <c:chart>
    <c:autoTitleDeleted val="0"/>
    <c:title>
      <c:layout>
        <c:manualLayout>
          <c:xMode val="factor"/>
          <c:yMode val="factor"/>
          <c:x val="-0.00125"/>
          <c:y val="0.029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Contagem de PREFIXO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S10
ARTICULADO</c:v>
              </c:pt>
              <c:pt idx="1">
                <c:v>s500</c:v>
              </c:pt>
              <c:pt idx="2">
                <c:v>ARTICULADO Total</c:v>
              </c:pt>
              <c:pt idx="3">
                <c:v>S10
COMUM</c:v>
              </c:pt>
              <c:pt idx="4">
                <c:v>s500</c:v>
              </c:pt>
              <c:pt idx="5">
                <c:v>COMUM Total</c:v>
              </c:pt>
              <c:pt idx="6">
                <c:v>S10
MID BUS</c:v>
              </c:pt>
              <c:pt idx="7">
                <c:v>s500</c:v>
              </c:pt>
              <c:pt idx="8">
                <c:v>MID BUS Total</c:v>
              </c:pt>
              <c:pt idx="9">
                <c:v>(vazio)
(vazio)</c:v>
              </c:pt>
              <c:pt idx="10">
                <c:v>(vazio) Total</c:v>
              </c:pt>
              <c:pt idx="11">
                <c:v>Total Geral</c:v>
              </c:pt>
            </c:strLit>
          </c:cat>
          <c:val>
            <c:numLit>
              <c:ptCount val="12"/>
              <c:pt idx="0">
                <c:v>10</c:v>
              </c:pt>
              <c:pt idx="1">
                <c:v>10</c:v>
              </c:pt>
              <c:pt idx="2">
                <c:v>20</c:v>
              </c:pt>
              <c:pt idx="3">
                <c:v>68</c:v>
              </c:pt>
              <c:pt idx="4">
                <c:v>88</c:v>
              </c:pt>
              <c:pt idx="5">
                <c:v>156</c:v>
              </c:pt>
              <c:pt idx="6">
                <c:v>15</c:v>
              </c:pt>
              <c:pt idx="7">
                <c:v>26</c:v>
              </c:pt>
              <c:pt idx="8">
                <c:v>41</c:v>
              </c:pt>
              <c:pt idx="11">
                <c:v>217</c:v>
              </c:pt>
            </c:numLit>
          </c:val>
        </c:ser>
        <c:overlap val="40"/>
        <c:gapWidth val="75"/>
        <c:axId val="56188957"/>
        <c:axId val="35938566"/>
      </c:bar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38566"/>
        <c:crosses val="autoZero"/>
        <c:auto val="0"/>
        <c:lblOffset val="100"/>
        <c:tickLblSkip val="1"/>
        <c:noMultiLvlLbl val="0"/>
      </c:catAx>
      <c:valAx>
        <c:axId val="35938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88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16</xdr:row>
      <xdr:rowOff>9525</xdr:rowOff>
    </xdr:from>
    <xdr:to>
      <xdr:col>14</xdr:col>
      <xdr:colOff>1114425</xdr:colOff>
      <xdr:row>17</xdr:row>
      <xdr:rowOff>161925</xdr:rowOff>
    </xdr:to>
    <xdr:sp>
      <xdr:nvSpPr>
        <xdr:cNvPr id="1" name="Seta para a direita 2"/>
        <xdr:cNvSpPr>
          <a:spLocks/>
        </xdr:cNvSpPr>
      </xdr:nvSpPr>
      <xdr:spPr>
        <a:xfrm>
          <a:off x="10144125" y="2724150"/>
          <a:ext cx="1352550" cy="323850"/>
        </a:xfrm>
        <a:prstGeom prst="rightArrow">
          <a:avLst>
            <a:gd name="adj" fmla="val 375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428625</xdr:colOff>
      <xdr:row>5</xdr:row>
      <xdr:rowOff>104775</xdr:rowOff>
    </xdr:from>
    <xdr:to>
      <xdr:col>17</xdr:col>
      <xdr:colOff>1638300</xdr:colOff>
      <xdr:row>7</xdr:row>
      <xdr:rowOff>95250</xdr:rowOff>
    </xdr:to>
    <xdr:sp>
      <xdr:nvSpPr>
        <xdr:cNvPr id="2" name="Seta para a direita 3"/>
        <xdr:cNvSpPr>
          <a:spLocks/>
        </xdr:cNvSpPr>
      </xdr:nvSpPr>
      <xdr:spPr>
        <a:xfrm>
          <a:off x="13039725" y="933450"/>
          <a:ext cx="1895475" cy="333375"/>
        </a:xfrm>
        <a:prstGeom prst="rightArrow">
          <a:avLst>
            <a:gd name="adj" fmla="val 41046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38100</xdr:rowOff>
    </xdr:from>
    <xdr:to>
      <xdr:col>12</xdr:col>
      <xdr:colOff>219075</xdr:colOff>
      <xdr:row>21</xdr:row>
      <xdr:rowOff>19050</xdr:rowOff>
    </xdr:to>
    <xdr:graphicFrame>
      <xdr:nvGraphicFramePr>
        <xdr:cNvPr id="1" name="Gráfico 1"/>
        <xdr:cNvGraphicFramePr/>
      </xdr:nvGraphicFramePr>
      <xdr:xfrm>
        <a:off x="3038475" y="38100"/>
        <a:ext cx="60579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57150</xdr:rowOff>
    </xdr:from>
    <xdr:to>
      <xdr:col>15</xdr:col>
      <xdr:colOff>361950</xdr:colOff>
      <xdr:row>18</xdr:row>
      <xdr:rowOff>57150</xdr:rowOff>
    </xdr:to>
    <xdr:graphicFrame>
      <xdr:nvGraphicFramePr>
        <xdr:cNvPr id="1" name="Gráfico 1"/>
        <xdr:cNvGraphicFramePr/>
      </xdr:nvGraphicFramePr>
      <xdr:xfrm>
        <a:off x="7591425" y="57150"/>
        <a:ext cx="47148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18</xdr:row>
      <xdr:rowOff>123825</xdr:rowOff>
    </xdr:from>
    <xdr:to>
      <xdr:col>15</xdr:col>
      <xdr:colOff>371475</xdr:colOff>
      <xdr:row>36</xdr:row>
      <xdr:rowOff>133350</xdr:rowOff>
    </xdr:to>
    <xdr:graphicFrame>
      <xdr:nvGraphicFramePr>
        <xdr:cNvPr id="2" name="Gráfico 2"/>
        <xdr:cNvGraphicFramePr/>
      </xdr:nvGraphicFramePr>
      <xdr:xfrm>
        <a:off x="7600950" y="2876550"/>
        <a:ext cx="47148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838200</xdr:colOff>
      <xdr:row>68</xdr:row>
      <xdr:rowOff>123825</xdr:rowOff>
    </xdr:from>
    <xdr:to>
      <xdr:col>6</xdr:col>
      <xdr:colOff>438150</xdr:colOff>
      <xdr:row>88</xdr:row>
      <xdr:rowOff>19050</xdr:rowOff>
    </xdr:to>
    <xdr:graphicFrame>
      <xdr:nvGraphicFramePr>
        <xdr:cNvPr id="3" name="Gráfico 3"/>
        <xdr:cNvGraphicFramePr/>
      </xdr:nvGraphicFramePr>
      <xdr:xfrm>
        <a:off x="838200" y="10887075"/>
        <a:ext cx="48958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0</xdr:row>
      <xdr:rowOff>28575</xdr:rowOff>
    </xdr:from>
    <xdr:to>
      <xdr:col>9</xdr:col>
      <xdr:colOff>66675</xdr:colOff>
      <xdr:row>37</xdr:row>
      <xdr:rowOff>38100</xdr:rowOff>
    </xdr:to>
    <xdr:graphicFrame>
      <xdr:nvGraphicFramePr>
        <xdr:cNvPr id="4" name="Gráfico 4"/>
        <xdr:cNvGraphicFramePr/>
      </xdr:nvGraphicFramePr>
      <xdr:xfrm>
        <a:off x="76200" y="28575"/>
        <a:ext cx="7315200" cy="575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FROTA TIPO DE COMBUSTIVEL"/>
  </cacheSource>
  <cacheFields count="8">
    <cacheField name="PREFIXO">
      <sharedItems containsMixedTypes="1" containsNumber="1" containsInteger="1"/>
    </cacheField>
    <cacheField name="ANO">
      <sharedItems containsMixedTypes="1" containsNumber="1" containsInteger="1"/>
    </cacheField>
    <cacheField name="TIPO">
      <sharedItems containsBlank="1" containsMixedTypes="0" count="4">
        <s v="COMUM"/>
        <s v="MID BUS"/>
        <s v="ARTICULADO"/>
        <m/>
      </sharedItems>
    </cacheField>
    <cacheField name="PLACA">
      <sharedItems containsMixedTypes="0"/>
    </cacheField>
    <cacheField name="MODELO">
      <sharedItems containsMixedTypes="0"/>
    </cacheField>
    <cacheField name=" COMB.">
      <sharedItems containsBlank="1" containsMixedTypes="0" count="3">
        <s v="S10"/>
        <s v="s500"/>
        <m/>
      </sharedItems>
    </cacheField>
    <cacheField name="CHASSIS">
      <sharedItems containsMixedTypes="0"/>
    </cacheField>
    <cacheField name="RENAVAM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3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G2:I15" firstHeaderRow="2" firstDataRow="2" firstDataCol="2"/>
  <pivotFields count="8"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2">
    <field x="2"/>
    <field x="5"/>
  </rowFields>
  <rowItems count="12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 v="2"/>
    </i>
    <i t="default">
      <x v="3"/>
    </i>
    <i t="grand">
      <x/>
    </i>
  </rowItems>
  <colItems count="1">
    <i/>
  </colItems>
  <dataFields count="1">
    <dataField name="Contagem de PREFIXO" fld="0" subtotal="count" baseField="0" baseItem="0" numFmtId="37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14:C27" firstHeaderRow="2" firstDataRow="2" firstDataCol="2"/>
  <pivotFields count="8"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2">
    <field x="2"/>
    <field x="5"/>
  </rowFields>
  <rowItems count="12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 v="2"/>
    </i>
    <i t="default">
      <x v="3"/>
    </i>
    <i t="grand">
      <x/>
    </i>
  </rowItems>
  <colItems count="1">
    <i/>
  </colItems>
  <dataFields count="1">
    <dataField name="Contagem de PREFIXO" fld="0" subtotal="count" baseField="0" baseItem="0" numFmtId="37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2:E8" firstHeaderRow="1" firstDataRow="2" firstDataCol="1"/>
  <pivotFields count="8"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ntagem de PREFIXO" fld="0" subtotal="count" baseField="0" baseItem="0" numFmtId="37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8"/>
  <sheetViews>
    <sheetView showGridLines="0" zoomScale="106" zoomScaleNormal="106" zoomScalePageLayoutView="0" workbookViewId="0" topLeftCell="F1">
      <selection activeCell="T15" sqref="T15"/>
    </sheetView>
  </sheetViews>
  <sheetFormatPr defaultColWidth="9.00390625" defaultRowHeight="12.75"/>
  <cols>
    <col min="1" max="1" width="2.625" style="9" customWidth="1"/>
    <col min="2" max="2" width="10.625" style="9" customWidth="1"/>
    <col min="3" max="3" width="14.00390625" style="9" customWidth="1"/>
    <col min="4" max="4" width="13.375" style="9" customWidth="1"/>
    <col min="5" max="5" width="10.875" style="9" customWidth="1"/>
    <col min="6" max="6" width="11.625" style="9" customWidth="1"/>
    <col min="7" max="7" width="11.25390625" style="9" customWidth="1"/>
    <col min="8" max="8" width="11.625" style="9" customWidth="1"/>
    <col min="9" max="10" width="8.625" style="9" customWidth="1"/>
    <col min="11" max="11" width="11.875" style="9" customWidth="1"/>
    <col min="12" max="12" width="7.875" style="9" customWidth="1"/>
    <col min="13" max="13" width="2.625" style="9" customWidth="1"/>
    <col min="14" max="14" width="15.625" style="9" customWidth="1"/>
    <col min="15" max="15" width="8.625" style="9" customWidth="1"/>
    <col min="16" max="16" width="2.625" style="9" customWidth="1"/>
    <col min="17" max="17" width="15.625" style="9" customWidth="1"/>
    <col min="18" max="18" width="8.625" style="9" customWidth="1"/>
    <col min="19" max="19" width="2.625" style="9" customWidth="1"/>
    <col min="20" max="23" width="8.875" style="9" customWidth="1"/>
    <col min="24" max="16384" width="9.00390625" style="9" customWidth="1"/>
  </cols>
  <sheetData>
    <row r="1" ht="13.5" customHeight="1"/>
    <row r="2" spans="2:19" ht="13.5" customHeight="1">
      <c r="B2" s="472" t="s">
        <v>119</v>
      </c>
      <c r="C2" s="472"/>
      <c r="D2" s="472"/>
      <c r="E2" s="472"/>
      <c r="F2" s="472"/>
      <c r="G2" s="472"/>
      <c r="H2" s="472"/>
      <c r="I2" s="472"/>
      <c r="J2" s="472"/>
      <c r="K2" s="472"/>
      <c r="M2" s="469" t="s">
        <v>151</v>
      </c>
      <c r="N2" s="470"/>
      <c r="O2" s="470"/>
      <c r="P2" s="470"/>
      <c r="Q2" s="470"/>
      <c r="R2" s="470"/>
      <c r="S2" s="471"/>
    </row>
    <row r="3" spans="4:19" ht="13.5" customHeight="1">
      <c r="D3" s="476" t="s">
        <v>34</v>
      </c>
      <c r="E3" s="477"/>
      <c r="F3" s="477"/>
      <c r="G3" s="478"/>
      <c r="H3" s="476" t="s">
        <v>35</v>
      </c>
      <c r="I3" s="477"/>
      <c r="J3" s="477"/>
      <c r="K3" s="479"/>
      <c r="L3" s="448"/>
      <c r="M3" s="90"/>
      <c r="N3" s="11"/>
      <c r="O3" s="11"/>
      <c r="P3" s="11"/>
      <c r="Q3" s="11"/>
      <c r="R3" s="11"/>
      <c r="S3" s="91"/>
    </row>
    <row r="4" spans="1:22" ht="13.5" customHeight="1">
      <c r="A4" s="11"/>
      <c r="B4" s="474"/>
      <c r="C4" s="475"/>
      <c r="D4" s="31" t="s">
        <v>25</v>
      </c>
      <c r="E4" s="21" t="s">
        <v>32</v>
      </c>
      <c r="F4" s="21" t="s">
        <v>33</v>
      </c>
      <c r="G4" s="22" t="s">
        <v>26</v>
      </c>
      <c r="H4" s="20" t="s">
        <v>25</v>
      </c>
      <c r="I4" s="21" t="s">
        <v>32</v>
      </c>
      <c r="J4" s="21" t="s">
        <v>33</v>
      </c>
      <c r="K4" s="26" t="s">
        <v>26</v>
      </c>
      <c r="L4" s="449"/>
      <c r="M4" s="90"/>
      <c r="N4" s="238" t="s">
        <v>53</v>
      </c>
      <c r="O4" s="239"/>
      <c r="P4" s="81"/>
      <c r="Q4" s="238" t="s">
        <v>54</v>
      </c>
      <c r="R4" s="239"/>
      <c r="S4" s="91"/>
      <c r="V4" s="9" t="s">
        <v>196</v>
      </c>
    </row>
    <row r="5" spans="1:22" s="10" customFormat="1" ht="13.5" customHeight="1">
      <c r="A5" s="25"/>
      <c r="B5" s="35" t="s">
        <v>29</v>
      </c>
      <c r="C5" s="341">
        <f>H25</f>
        <v>250</v>
      </c>
      <c r="D5" s="18">
        <v>0</v>
      </c>
      <c r="E5" s="335">
        <v>7260</v>
      </c>
      <c r="F5" s="335">
        <v>36276</v>
      </c>
      <c r="G5" s="336">
        <v>3672</v>
      </c>
      <c r="H5" s="18">
        <f aca="true" t="shared" si="0" ref="H5:K7">D5*$C5</f>
        <v>0</v>
      </c>
      <c r="I5" s="19">
        <f t="shared" si="0"/>
        <v>1815000</v>
      </c>
      <c r="J5" s="19">
        <f>F5*$C5</f>
        <v>9069000</v>
      </c>
      <c r="K5" s="27">
        <f t="shared" si="0"/>
        <v>918000</v>
      </c>
      <c r="L5" s="450"/>
      <c r="M5" s="90"/>
      <c r="N5" s="242" t="s">
        <v>13</v>
      </c>
      <c r="O5" s="344">
        <v>2763</v>
      </c>
      <c r="P5" s="79"/>
      <c r="Q5" s="242" t="s">
        <v>13</v>
      </c>
      <c r="R5" s="344">
        <v>2383</v>
      </c>
      <c r="S5" s="91"/>
      <c r="T5" s="363" t="s">
        <v>154</v>
      </c>
      <c r="V5" s="10">
        <v>1712.7</v>
      </c>
    </row>
    <row r="6" spans="1:22" ht="13.5" customHeight="1">
      <c r="A6" s="11"/>
      <c r="B6" s="36" t="s">
        <v>30</v>
      </c>
      <c r="C6" s="342">
        <f>I25</f>
        <v>50</v>
      </c>
      <c r="D6" s="16">
        <v>0</v>
      </c>
      <c r="E6" s="337">
        <v>6902</v>
      </c>
      <c r="F6" s="337">
        <v>29675</v>
      </c>
      <c r="G6" s="338">
        <v>3037</v>
      </c>
      <c r="H6" s="18">
        <f t="shared" si="0"/>
        <v>0</v>
      </c>
      <c r="I6" s="17">
        <f t="shared" si="0"/>
        <v>345100</v>
      </c>
      <c r="J6" s="17">
        <f t="shared" si="0"/>
        <v>1483750</v>
      </c>
      <c r="K6" s="28">
        <f t="shared" si="0"/>
        <v>151850</v>
      </c>
      <c r="L6" s="449"/>
      <c r="M6" s="90"/>
      <c r="N6" s="133" t="s">
        <v>14</v>
      </c>
      <c r="O6" s="344">
        <v>2330</v>
      </c>
      <c r="P6" s="79"/>
      <c r="Q6" s="133" t="s">
        <v>14</v>
      </c>
      <c r="R6" s="344">
        <v>1946</v>
      </c>
      <c r="S6" s="91"/>
      <c r="V6" s="9">
        <v>2329.967</v>
      </c>
    </row>
    <row r="7" spans="1:22" ht="13.5" customHeight="1">
      <c r="A7" s="11"/>
      <c r="B7" s="37" t="s">
        <v>31</v>
      </c>
      <c r="C7" s="343">
        <f>J25</f>
        <v>65</v>
      </c>
      <c r="D7" s="34">
        <v>0</v>
      </c>
      <c r="E7" s="339">
        <v>6551</v>
      </c>
      <c r="F7" s="339">
        <v>21190</v>
      </c>
      <c r="G7" s="340">
        <v>2672</v>
      </c>
      <c r="H7" s="18">
        <f t="shared" si="0"/>
        <v>0</v>
      </c>
      <c r="I7" s="23">
        <f t="shared" si="0"/>
        <v>425815</v>
      </c>
      <c r="J7" s="23">
        <f t="shared" si="0"/>
        <v>1377350</v>
      </c>
      <c r="K7" s="29">
        <f t="shared" si="0"/>
        <v>173680</v>
      </c>
      <c r="L7" s="449"/>
      <c r="M7" s="90"/>
      <c r="N7" s="243" t="s">
        <v>15</v>
      </c>
      <c r="O7" s="344">
        <v>1712</v>
      </c>
      <c r="P7" s="79"/>
      <c r="Q7" s="243" t="s">
        <v>15</v>
      </c>
      <c r="R7" s="344">
        <v>1407</v>
      </c>
      <c r="S7" s="91"/>
      <c r="V7" s="9">
        <v>2762.8</v>
      </c>
    </row>
    <row r="8" spans="1:19" ht="13.5" customHeight="1">
      <c r="A8" s="11"/>
      <c r="C8" s="32"/>
      <c r="D8" s="33"/>
      <c r="E8" s="363" t="s">
        <v>154</v>
      </c>
      <c r="F8" s="465" t="s">
        <v>22</v>
      </c>
      <c r="G8" s="466"/>
      <c r="H8" s="38">
        <f>SUM(H5:H7)</f>
        <v>0</v>
      </c>
      <c r="I8" s="39">
        <f>SUM(I5:I7)</f>
        <v>2585915</v>
      </c>
      <c r="J8" s="39">
        <f>SUM(J5:J7)</f>
        <v>11930100</v>
      </c>
      <c r="K8" s="40">
        <f>SUM(K5:K7)</f>
        <v>1243530</v>
      </c>
      <c r="L8" s="449"/>
      <c r="M8" s="90"/>
      <c r="N8" s="132" t="s">
        <v>16</v>
      </c>
      <c r="O8" s="80">
        <f>O5/6</f>
        <v>460.5</v>
      </c>
      <c r="P8" s="81"/>
      <c r="Q8" s="132" t="s">
        <v>16</v>
      </c>
      <c r="R8" s="80">
        <f>R5/6</f>
        <v>397.1666666666667</v>
      </c>
      <c r="S8" s="91"/>
    </row>
    <row r="9" spans="1:22" ht="13.5" customHeight="1">
      <c r="A9" s="11"/>
      <c r="C9" s="32"/>
      <c r="D9" s="33"/>
      <c r="E9" s="33"/>
      <c r="F9" s="467" t="s">
        <v>23</v>
      </c>
      <c r="G9" s="468"/>
      <c r="H9" s="41">
        <f>H8/12</f>
        <v>0</v>
      </c>
      <c r="I9" s="42">
        <f>I8/12</f>
        <v>215492.91666666666</v>
      </c>
      <c r="J9" s="42">
        <f>J8/12</f>
        <v>994175</v>
      </c>
      <c r="K9" s="43">
        <f>K8/12</f>
        <v>103627.5</v>
      </c>
      <c r="L9" s="449"/>
      <c r="M9" s="90"/>
      <c r="N9" s="133" t="s">
        <v>17</v>
      </c>
      <c r="O9" s="82">
        <f>O6/6</f>
        <v>388.3333333333333</v>
      </c>
      <c r="P9" s="81"/>
      <c r="Q9" s="133" t="s">
        <v>17</v>
      </c>
      <c r="R9" s="82">
        <f>R6/6</f>
        <v>324.3333333333333</v>
      </c>
      <c r="S9" s="91"/>
      <c r="V9" s="9" t="s">
        <v>196</v>
      </c>
    </row>
    <row r="10" spans="1:22" ht="13.5" customHeight="1">
      <c r="A10" s="11"/>
      <c r="C10" s="32"/>
      <c r="D10" s="32"/>
      <c r="E10" s="32"/>
      <c r="F10" s="456" t="s">
        <v>36</v>
      </c>
      <c r="G10" s="457"/>
      <c r="H10" s="480">
        <f>SUM(H9:K9)</f>
        <v>1313295.4166666667</v>
      </c>
      <c r="I10" s="481"/>
      <c r="J10" s="481"/>
      <c r="K10" s="481"/>
      <c r="L10" s="30"/>
      <c r="M10" s="90"/>
      <c r="N10" s="243" t="s">
        <v>18</v>
      </c>
      <c r="O10" s="83">
        <f>O7/6</f>
        <v>285.3333333333333</v>
      </c>
      <c r="P10" s="81"/>
      <c r="Q10" s="243" t="s">
        <v>18</v>
      </c>
      <c r="R10" s="83">
        <f>R7/6</f>
        <v>234.5</v>
      </c>
      <c r="S10" s="91"/>
      <c r="V10" s="9">
        <v>1407.333</v>
      </c>
    </row>
    <row r="11" spans="1:22" ht="13.5" customHeight="1">
      <c r="A11" s="11"/>
      <c r="B11" s="473" t="s">
        <v>118</v>
      </c>
      <c r="C11" s="473"/>
      <c r="D11" s="14"/>
      <c r="E11" s="14"/>
      <c r="F11" s="14"/>
      <c r="G11" s="14"/>
      <c r="H11" s="14"/>
      <c r="I11" s="14"/>
      <c r="J11" s="14"/>
      <c r="K11" s="14"/>
      <c r="L11" s="30"/>
      <c r="M11" s="90"/>
      <c r="N11" s="244" t="s">
        <v>56</v>
      </c>
      <c r="O11" s="84">
        <f>J25</f>
        <v>65</v>
      </c>
      <c r="P11" s="81"/>
      <c r="Q11" s="244" t="s">
        <v>56</v>
      </c>
      <c r="R11" s="84">
        <f>J25</f>
        <v>65</v>
      </c>
      <c r="S11" s="91"/>
      <c r="V11" s="9">
        <v>1945.933</v>
      </c>
    </row>
    <row r="12" spans="2:22" s="11" customFormat="1" ht="19.5" customHeight="1">
      <c r="B12" s="458" t="s">
        <v>38</v>
      </c>
      <c r="C12" s="458"/>
      <c r="D12" s="458"/>
      <c r="E12" s="9"/>
      <c r="F12" s="9"/>
      <c r="G12" s="317" t="s">
        <v>51</v>
      </c>
      <c r="H12" s="318" t="s">
        <v>29</v>
      </c>
      <c r="I12" s="319" t="s">
        <v>30</v>
      </c>
      <c r="J12" s="320" t="s">
        <v>50</v>
      </c>
      <c r="K12" s="321" t="s">
        <v>52</v>
      </c>
      <c r="M12" s="90"/>
      <c r="N12" s="132" t="s">
        <v>19</v>
      </c>
      <c r="O12" s="85">
        <f>((O8*$H$25)+(O9*$I$25)+(O10*$J$25))/($K$25-$J$25)</f>
        <v>510.29444444444437</v>
      </c>
      <c r="P12" s="81"/>
      <c r="Q12" s="132" t="s">
        <v>19</v>
      </c>
      <c r="R12" s="85">
        <f>((R8*$H$25)+(R9*$I$25)+(R10*$J$25))/($K$25-$J$25)</f>
        <v>435.83611111111117</v>
      </c>
      <c r="S12" s="91"/>
      <c r="V12" s="11">
        <v>2383.367</v>
      </c>
    </row>
    <row r="13" spans="1:19" ht="13.5" customHeight="1">
      <c r="A13" s="11"/>
      <c r="B13" s="405" t="s">
        <v>51</v>
      </c>
      <c r="C13" s="406" t="s">
        <v>170</v>
      </c>
      <c r="D13" s="406" t="s">
        <v>171</v>
      </c>
      <c r="G13" s="24">
        <v>43101</v>
      </c>
      <c r="H13" s="72">
        <v>22</v>
      </c>
      <c r="I13" s="72">
        <v>4</v>
      </c>
      <c r="J13" s="72">
        <v>5</v>
      </c>
      <c r="K13" s="77">
        <f aca="true" t="shared" si="1" ref="K13:K25">SUM(H13:J13)</f>
        <v>31</v>
      </c>
      <c r="M13" s="90"/>
      <c r="N13" s="245" t="s">
        <v>58</v>
      </c>
      <c r="O13" s="86">
        <f>O12/11</f>
        <v>46.390404040404036</v>
      </c>
      <c r="P13" s="81"/>
      <c r="Q13" s="245" t="s">
        <v>58</v>
      </c>
      <c r="R13" s="86">
        <f>R12*0.0909</f>
        <v>39.6175025</v>
      </c>
      <c r="S13" s="91"/>
    </row>
    <row r="14" spans="1:19" ht="13.5" customHeight="1">
      <c r="A14" s="11"/>
      <c r="B14" s="408" t="s">
        <v>158</v>
      </c>
      <c r="C14" s="306">
        <v>1870306</v>
      </c>
      <c r="D14" s="306">
        <v>1947747.5</v>
      </c>
      <c r="G14" s="24">
        <v>43132</v>
      </c>
      <c r="H14" s="322">
        <v>19</v>
      </c>
      <c r="I14" s="322">
        <v>4</v>
      </c>
      <c r="J14" s="322">
        <v>5</v>
      </c>
      <c r="K14" s="323">
        <f t="shared" si="1"/>
        <v>28</v>
      </c>
      <c r="M14" s="90"/>
      <c r="N14" s="245" t="s">
        <v>20</v>
      </c>
      <c r="O14" s="87">
        <f>SUM(O12:O13)</f>
        <v>556.6848484848484</v>
      </c>
      <c r="P14" s="81"/>
      <c r="Q14" s="245" t="s">
        <v>20</v>
      </c>
      <c r="R14" s="87">
        <f>SUM(R12:R13)</f>
        <v>475.45361361111117</v>
      </c>
      <c r="S14" s="91"/>
    </row>
    <row r="15" spans="1:19" ht="13.5" customHeight="1">
      <c r="A15" s="11"/>
      <c r="B15" s="408" t="s">
        <v>159</v>
      </c>
      <c r="C15" s="306">
        <v>1945814</v>
      </c>
      <c r="D15" s="306">
        <v>2022990.5</v>
      </c>
      <c r="G15" s="24">
        <v>43160</v>
      </c>
      <c r="H15" s="72">
        <v>21</v>
      </c>
      <c r="I15" s="72">
        <v>5</v>
      </c>
      <c r="J15" s="72">
        <v>5</v>
      </c>
      <c r="K15" s="77">
        <f t="shared" si="1"/>
        <v>31</v>
      </c>
      <c r="M15" s="90"/>
      <c r="N15" s="245" t="s">
        <v>59</v>
      </c>
      <c r="O15" s="87">
        <f>O14*10%</f>
        <v>55.668484848484844</v>
      </c>
      <c r="P15" s="81"/>
      <c r="Q15" s="245" t="s">
        <v>59</v>
      </c>
      <c r="R15" s="87">
        <f>R14/10</f>
        <v>47.54536136111112</v>
      </c>
      <c r="S15" s="91"/>
    </row>
    <row r="16" spans="1:19" ht="13.5" customHeight="1">
      <c r="A16" s="11"/>
      <c r="B16" s="408" t="s">
        <v>160</v>
      </c>
      <c r="C16" s="307">
        <v>2367555</v>
      </c>
      <c r="D16" s="307">
        <v>2423409</v>
      </c>
      <c r="G16" s="24">
        <v>43191</v>
      </c>
      <c r="H16" s="72">
        <v>21</v>
      </c>
      <c r="I16" s="72">
        <v>3</v>
      </c>
      <c r="J16" s="72">
        <v>6</v>
      </c>
      <c r="K16" s="77">
        <f t="shared" si="1"/>
        <v>30</v>
      </c>
      <c r="M16" s="90"/>
      <c r="N16" s="133" t="s">
        <v>57</v>
      </c>
      <c r="O16" s="87">
        <f>SUM(O14:O15)</f>
        <v>612.3533333333332</v>
      </c>
      <c r="P16" s="81"/>
      <c r="Q16" s="133" t="s">
        <v>57</v>
      </c>
      <c r="R16" s="87">
        <f>SUM(R14:R15)</f>
        <v>522.9989749722223</v>
      </c>
      <c r="S16" s="91"/>
    </row>
    <row r="17" spans="1:19" ht="13.5" customHeight="1">
      <c r="A17" s="11"/>
      <c r="B17" s="408" t="s">
        <v>161</v>
      </c>
      <c r="C17" s="307">
        <v>2033261</v>
      </c>
      <c r="D17" s="307">
        <v>2284127</v>
      </c>
      <c r="G17" s="24">
        <v>43221</v>
      </c>
      <c r="H17" s="72">
        <v>21</v>
      </c>
      <c r="I17" s="72">
        <v>4</v>
      </c>
      <c r="J17" s="72">
        <v>6</v>
      </c>
      <c r="K17" s="77">
        <f t="shared" si="1"/>
        <v>31</v>
      </c>
      <c r="M17" s="90"/>
      <c r="N17" s="245" t="s">
        <v>60</v>
      </c>
      <c r="O17" s="87">
        <f>O16*5%</f>
        <v>30.617666666666665</v>
      </c>
      <c r="P17" s="81"/>
      <c r="Q17" s="245" t="s">
        <v>60</v>
      </c>
      <c r="R17" s="87">
        <f>R16/20</f>
        <v>26.149948748611116</v>
      </c>
      <c r="S17" s="91"/>
    </row>
    <row r="18" spans="1:19" ht="13.5" customHeight="1">
      <c r="A18" s="11"/>
      <c r="B18" s="408" t="s">
        <v>162</v>
      </c>
      <c r="C18" s="307">
        <v>2263712</v>
      </c>
      <c r="D18" s="307">
        <v>2243149</v>
      </c>
      <c r="G18" s="24">
        <v>43252</v>
      </c>
      <c r="H18" s="72">
        <v>21</v>
      </c>
      <c r="I18" s="72">
        <v>5</v>
      </c>
      <c r="J18" s="72">
        <v>4</v>
      </c>
      <c r="K18" s="77">
        <f t="shared" si="1"/>
        <v>30</v>
      </c>
      <c r="M18" s="90"/>
      <c r="N18" s="133" t="s">
        <v>21</v>
      </c>
      <c r="O18" s="86">
        <f>SUM(O16:O17)</f>
        <v>642.9709999999999</v>
      </c>
      <c r="P18" s="81"/>
      <c r="Q18" s="133" t="s">
        <v>21</v>
      </c>
      <c r="R18" s="86">
        <f>SUM(R16:R17)</f>
        <v>549.1489237208334</v>
      </c>
      <c r="S18" s="91"/>
    </row>
    <row r="19" spans="1:19" ht="13.5" customHeight="1">
      <c r="A19" s="11"/>
      <c r="B19" s="408" t="s">
        <v>163</v>
      </c>
      <c r="C19" s="307">
        <v>2128695</v>
      </c>
      <c r="D19" s="307">
        <v>2263312</v>
      </c>
      <c r="G19" s="24">
        <v>43282</v>
      </c>
      <c r="H19" s="322">
        <v>21</v>
      </c>
      <c r="I19" s="322">
        <v>4</v>
      </c>
      <c r="J19" s="322">
        <v>6</v>
      </c>
      <c r="K19" s="323">
        <f t="shared" si="1"/>
        <v>31</v>
      </c>
      <c r="M19" s="90"/>
      <c r="N19" s="243" t="s">
        <v>1</v>
      </c>
      <c r="O19" s="88">
        <f>'Informações da Frota e Custos'!G23</f>
        <v>195</v>
      </c>
      <c r="P19" s="81"/>
      <c r="Q19" s="243" t="s">
        <v>1</v>
      </c>
      <c r="R19" s="88">
        <f>'Informações da Frota e Custos'!D23+'Informações da Frota e Custos'!F23</f>
        <v>160</v>
      </c>
      <c r="S19" s="91"/>
    </row>
    <row r="20" spans="1:19" ht="13.5" customHeight="1">
      <c r="A20" s="11"/>
      <c r="B20" s="408" t="s">
        <v>164</v>
      </c>
      <c r="C20" s="307">
        <v>1982276</v>
      </c>
      <c r="D20" s="308">
        <v>2057487</v>
      </c>
      <c r="G20" s="24">
        <v>43313</v>
      </c>
      <c r="H20" s="72">
        <v>23</v>
      </c>
      <c r="I20" s="72">
        <v>4</v>
      </c>
      <c r="J20" s="72">
        <v>4</v>
      </c>
      <c r="K20" s="77">
        <f t="shared" si="1"/>
        <v>31</v>
      </c>
      <c r="M20" s="90"/>
      <c r="N20" s="240" t="s">
        <v>55</v>
      </c>
      <c r="O20" s="241">
        <f>O18/O19</f>
        <v>3.2972871794871788</v>
      </c>
      <c r="P20" s="89"/>
      <c r="Q20" s="240" t="s">
        <v>55</v>
      </c>
      <c r="R20" s="241">
        <f>R18/R19</f>
        <v>3.432180773255209</v>
      </c>
      <c r="S20" s="91"/>
    </row>
    <row r="21" spans="1:19" ht="13.5" customHeight="1">
      <c r="A21" s="11"/>
      <c r="B21" s="408" t="s">
        <v>165</v>
      </c>
      <c r="C21" s="308">
        <v>2253979</v>
      </c>
      <c r="D21" s="308">
        <v>2301161.5</v>
      </c>
      <c r="G21" s="24">
        <v>43344</v>
      </c>
      <c r="H21" s="72">
        <v>19</v>
      </c>
      <c r="I21" s="72">
        <v>4</v>
      </c>
      <c r="J21" s="72">
        <v>7</v>
      </c>
      <c r="K21" s="77">
        <f t="shared" si="1"/>
        <v>30</v>
      </c>
      <c r="M21" s="92"/>
      <c r="N21" s="93"/>
      <c r="O21" s="93"/>
      <c r="P21" s="93"/>
      <c r="Q21" s="93"/>
      <c r="R21" s="93"/>
      <c r="S21" s="94"/>
    </row>
    <row r="22" spans="1:11" ht="13.5" customHeight="1">
      <c r="A22" s="11"/>
      <c r="B22" s="408" t="s">
        <v>166</v>
      </c>
      <c r="C22" s="307">
        <v>2077894</v>
      </c>
      <c r="D22" s="307">
        <v>2194798</v>
      </c>
      <c r="G22" s="24">
        <v>43374</v>
      </c>
      <c r="H22" s="322">
        <v>22</v>
      </c>
      <c r="I22" s="322">
        <v>4</v>
      </c>
      <c r="J22" s="322">
        <v>5</v>
      </c>
      <c r="K22" s="323">
        <f t="shared" si="1"/>
        <v>31</v>
      </c>
    </row>
    <row r="23" spans="1:11" ht="13.5" customHeight="1">
      <c r="A23" s="11"/>
      <c r="B23" s="408" t="s">
        <v>167</v>
      </c>
      <c r="C23" s="308">
        <v>2105052</v>
      </c>
      <c r="D23" s="308">
        <v>2164854</v>
      </c>
      <c r="G23" s="24">
        <v>43405</v>
      </c>
      <c r="H23" s="72">
        <v>20</v>
      </c>
      <c r="I23" s="72">
        <v>4</v>
      </c>
      <c r="J23" s="72">
        <v>6</v>
      </c>
      <c r="K23" s="77">
        <f t="shared" si="1"/>
        <v>30</v>
      </c>
    </row>
    <row r="24" spans="1:11" ht="13.5" customHeight="1">
      <c r="A24" s="11"/>
      <c r="B24" s="408" t="s">
        <v>168</v>
      </c>
      <c r="C24" s="308">
        <v>2067547</v>
      </c>
      <c r="D24" s="308">
        <v>2189350</v>
      </c>
      <c r="G24" s="24">
        <v>43435</v>
      </c>
      <c r="H24" s="72">
        <v>20</v>
      </c>
      <c r="I24" s="72">
        <v>5</v>
      </c>
      <c r="J24" s="72">
        <v>6</v>
      </c>
      <c r="K24" s="77">
        <f t="shared" si="1"/>
        <v>31</v>
      </c>
    </row>
    <row r="25" spans="1:19" ht="13.5" customHeight="1">
      <c r="A25" s="11"/>
      <c r="B25" s="408" t="s">
        <v>169</v>
      </c>
      <c r="C25" s="401">
        <v>2016800</v>
      </c>
      <c r="D25" s="401">
        <v>2195478</v>
      </c>
      <c r="G25" s="75"/>
      <c r="H25" s="76">
        <f>SUM(H13:H24)</f>
        <v>250</v>
      </c>
      <c r="I25" s="73">
        <f>SUM(I13:I24)</f>
        <v>50</v>
      </c>
      <c r="J25" s="74">
        <f>SUM(J13:J24)</f>
        <v>65</v>
      </c>
      <c r="K25" s="78">
        <f t="shared" si="1"/>
        <v>365</v>
      </c>
      <c r="M25" s="469" t="s">
        <v>150</v>
      </c>
      <c r="N25" s="470"/>
      <c r="O25" s="470"/>
      <c r="P25" s="470"/>
      <c r="Q25" s="470"/>
      <c r="R25" s="470"/>
      <c r="S25" s="471"/>
    </row>
    <row r="26" spans="1:19" ht="13.5" customHeight="1">
      <c r="A26" s="11"/>
      <c r="B26" s="309" t="s">
        <v>37</v>
      </c>
      <c r="C26" s="310">
        <f>AVERAGE(C14:C25)</f>
        <v>2092740.9166666667</v>
      </c>
      <c r="D26" s="310">
        <f>AVERAGE(D14:D25)</f>
        <v>2190655.2916666665</v>
      </c>
      <c r="E26" s="11"/>
      <c r="F26" s="11"/>
      <c r="G26" s="407" t="s">
        <v>173</v>
      </c>
      <c r="M26" s="90"/>
      <c r="N26" s="11"/>
      <c r="O26" s="11"/>
      <c r="P26" s="11"/>
      <c r="Q26" s="11"/>
      <c r="R26" s="11"/>
      <c r="S26" s="91"/>
    </row>
    <row r="27" spans="13:19" ht="19.5" customHeight="1">
      <c r="M27" s="90"/>
      <c r="N27" s="238" t="s">
        <v>53</v>
      </c>
      <c r="O27" s="239"/>
      <c r="P27" s="81"/>
      <c r="Q27" s="238" t="s">
        <v>54</v>
      </c>
      <c r="R27" s="239"/>
      <c r="S27" s="91"/>
    </row>
    <row r="28" spans="2:19" ht="12">
      <c r="B28" s="247"/>
      <c r="M28" s="90"/>
      <c r="N28" s="242" t="s">
        <v>13</v>
      </c>
      <c r="O28" s="344">
        <v>2778.115272055052</v>
      </c>
      <c r="P28" s="79"/>
      <c r="Q28" s="242" t="s">
        <v>13</v>
      </c>
      <c r="R28" s="344">
        <v>2523.361488784691</v>
      </c>
      <c r="S28" s="91"/>
    </row>
    <row r="29" spans="2:19" ht="12">
      <c r="B29" s="247"/>
      <c r="C29" s="310"/>
      <c r="D29" s="363"/>
      <c r="M29" s="90"/>
      <c r="N29" s="133" t="s">
        <v>14</v>
      </c>
      <c r="O29" s="345">
        <v>2285.9826314842885</v>
      </c>
      <c r="P29" s="79"/>
      <c r="Q29" s="133" t="s">
        <v>14</v>
      </c>
      <c r="R29" s="345">
        <v>1915.3212092506694</v>
      </c>
      <c r="S29" s="91"/>
    </row>
    <row r="30" spans="13:19" ht="12">
      <c r="M30" s="90"/>
      <c r="N30" s="243" t="s">
        <v>15</v>
      </c>
      <c r="O30" s="346">
        <v>1730.68031284653</v>
      </c>
      <c r="P30" s="79"/>
      <c r="Q30" s="243" t="s">
        <v>15</v>
      </c>
      <c r="R30" s="346">
        <v>1574.13</v>
      </c>
      <c r="S30" s="91"/>
    </row>
    <row r="31" ht="12.75" thickBot="1"/>
    <row r="32" spans="6:10" ht="12">
      <c r="F32" s="21" t="s">
        <v>32</v>
      </c>
      <c r="G32" s="21" t="s">
        <v>33</v>
      </c>
      <c r="H32" s="26" t="s">
        <v>26</v>
      </c>
      <c r="I32" s="384" t="s">
        <v>152</v>
      </c>
      <c r="J32" s="385" t="s">
        <v>153</v>
      </c>
    </row>
    <row r="33" spans="4:10" ht="12">
      <c r="D33" s="462" t="s">
        <v>156</v>
      </c>
      <c r="E33" s="364" t="s">
        <v>29</v>
      </c>
      <c r="F33" s="335">
        <v>7235</v>
      </c>
      <c r="G33" s="335">
        <v>37022</v>
      </c>
      <c r="H33" s="336">
        <v>3584</v>
      </c>
      <c r="I33" s="386">
        <f>SUM(F33:H33)</f>
        <v>47841</v>
      </c>
      <c r="J33" s="387">
        <f>SUM(G33:H33)</f>
        <v>40606</v>
      </c>
    </row>
    <row r="34" spans="4:10" ht="12">
      <c r="D34" s="463"/>
      <c r="E34" s="365" t="s">
        <v>30</v>
      </c>
      <c r="F34" s="337">
        <v>8017</v>
      </c>
      <c r="G34" s="337">
        <v>28856</v>
      </c>
      <c r="H34" s="338">
        <v>2930</v>
      </c>
      <c r="I34" s="386">
        <f>SUM(F34:H34)</f>
        <v>39803</v>
      </c>
      <c r="J34" s="387">
        <f>SUM(G34:H34)</f>
        <v>31786</v>
      </c>
    </row>
    <row r="35" spans="4:10" ht="12.75" thickBot="1">
      <c r="D35" s="464"/>
      <c r="E35" s="366" t="s">
        <v>31</v>
      </c>
      <c r="F35" s="339">
        <v>7981</v>
      </c>
      <c r="G35" s="339">
        <v>19884</v>
      </c>
      <c r="H35" s="340">
        <v>2563</v>
      </c>
      <c r="I35" s="388">
        <f>SUM(F35:H35)</f>
        <v>30428</v>
      </c>
      <c r="J35" s="389">
        <f>SUM(G35:H35)</f>
        <v>22447</v>
      </c>
    </row>
    <row r="37" ht="12.75" thickBot="1"/>
    <row r="38" spans="6:10" ht="12">
      <c r="F38" s="21" t="s">
        <v>32</v>
      </c>
      <c r="G38" s="21" t="s">
        <v>33</v>
      </c>
      <c r="H38" s="26" t="s">
        <v>26</v>
      </c>
      <c r="I38" s="384" t="s">
        <v>152</v>
      </c>
      <c r="J38" s="385" t="s">
        <v>153</v>
      </c>
    </row>
    <row r="39" spans="4:10" ht="12">
      <c r="D39" s="459" t="s">
        <v>157</v>
      </c>
      <c r="E39" s="364" t="s">
        <v>29</v>
      </c>
      <c r="F39" s="335">
        <v>7350</v>
      </c>
      <c r="G39" s="335">
        <v>37103</v>
      </c>
      <c r="H39" s="336">
        <v>3584</v>
      </c>
      <c r="I39" s="386">
        <f>SUM(F39:H39)</f>
        <v>48037</v>
      </c>
      <c r="J39" s="387">
        <f>SUM(G39:H39)</f>
        <v>40687</v>
      </c>
    </row>
    <row r="40" spans="4:10" ht="12">
      <c r="D40" s="460"/>
      <c r="E40" s="365" t="s">
        <v>30</v>
      </c>
      <c r="F40" s="337">
        <v>8159</v>
      </c>
      <c r="G40" s="337">
        <v>28976</v>
      </c>
      <c r="H40" s="338">
        <v>2930</v>
      </c>
      <c r="I40" s="386">
        <f>SUM(F40:H40)</f>
        <v>40065</v>
      </c>
      <c r="J40" s="387">
        <f>SUM(G40:H40)</f>
        <v>31906</v>
      </c>
    </row>
    <row r="41" spans="4:10" ht="12.75" thickBot="1">
      <c r="D41" s="461"/>
      <c r="E41" s="366" t="s">
        <v>31</v>
      </c>
      <c r="F41" s="339">
        <v>7964</v>
      </c>
      <c r="G41" s="339">
        <v>19973</v>
      </c>
      <c r="H41" s="340">
        <v>2563</v>
      </c>
      <c r="I41" s="388">
        <f>SUM(F41:H41)</f>
        <v>30500</v>
      </c>
      <c r="J41" s="389">
        <f>SUM(G41:H41)</f>
        <v>22536</v>
      </c>
    </row>
    <row r="43" ht="12.75" thickBot="1"/>
    <row r="44" spans="6:10" ht="12">
      <c r="F44" s="21" t="s">
        <v>32</v>
      </c>
      <c r="G44" s="21" t="s">
        <v>33</v>
      </c>
      <c r="H44" s="26" t="s">
        <v>26</v>
      </c>
      <c r="I44" s="384" t="s">
        <v>152</v>
      </c>
      <c r="J44" s="385" t="s">
        <v>153</v>
      </c>
    </row>
    <row r="45" spans="5:10" ht="12">
      <c r="E45" s="364" t="s">
        <v>29</v>
      </c>
      <c r="F45" s="367">
        <f aca="true" t="shared" si="2" ref="F45:J47">100%-(F33/F39)</f>
        <v>0.0156462585034014</v>
      </c>
      <c r="G45" s="367">
        <f t="shared" si="2"/>
        <v>0.0021831118777457803</v>
      </c>
      <c r="H45" s="390">
        <f t="shared" si="2"/>
        <v>0</v>
      </c>
      <c r="I45" s="391">
        <f t="shared" si="2"/>
        <v>0.004080188188271494</v>
      </c>
      <c r="J45" s="392">
        <f t="shared" si="2"/>
        <v>0.0019908078747511437</v>
      </c>
    </row>
    <row r="46" spans="5:10" ht="12">
      <c r="E46" s="365" t="s">
        <v>30</v>
      </c>
      <c r="F46" s="367">
        <f t="shared" si="2"/>
        <v>0.017404093638926366</v>
      </c>
      <c r="G46" s="367">
        <f t="shared" si="2"/>
        <v>0.004141358365543857</v>
      </c>
      <c r="H46" s="390">
        <f t="shared" si="2"/>
        <v>0</v>
      </c>
      <c r="I46" s="391">
        <f t="shared" si="2"/>
        <v>0.006539373518033242</v>
      </c>
      <c r="J46" s="392">
        <f t="shared" si="2"/>
        <v>0.003761048078731233</v>
      </c>
    </row>
    <row r="47" spans="5:10" ht="12.75" thickBot="1">
      <c r="E47" s="366" t="s">
        <v>31</v>
      </c>
      <c r="F47" s="367">
        <f t="shared" si="2"/>
        <v>-0.002134605725765848</v>
      </c>
      <c r="G47" s="367">
        <f t="shared" si="2"/>
        <v>0.004456015621088438</v>
      </c>
      <c r="H47" s="390">
        <f t="shared" si="2"/>
        <v>0</v>
      </c>
      <c r="I47" s="393">
        <f t="shared" si="2"/>
        <v>0.002360655737704942</v>
      </c>
      <c r="J47" s="394">
        <f t="shared" si="2"/>
        <v>0.003949236776712772</v>
      </c>
    </row>
    <row r="50" ht="12.75" thickBot="1"/>
    <row r="51" spans="6:10" ht="12">
      <c r="F51" s="21" t="s">
        <v>32</v>
      </c>
      <c r="G51" s="21" t="s">
        <v>33</v>
      </c>
      <c r="H51" s="26" t="s">
        <v>26</v>
      </c>
      <c r="I51" s="384" t="s">
        <v>152</v>
      </c>
      <c r="J51" s="385" t="s">
        <v>153</v>
      </c>
    </row>
    <row r="52" spans="4:10" ht="12">
      <c r="D52" s="462" t="s">
        <v>190</v>
      </c>
      <c r="E52" s="364" t="s">
        <v>29</v>
      </c>
      <c r="F52" s="335">
        <v>7350</v>
      </c>
      <c r="G52" s="335">
        <v>37103</v>
      </c>
      <c r="H52" s="336">
        <v>3584</v>
      </c>
      <c r="I52" s="386">
        <f>SUM(F52:H52)</f>
        <v>48037</v>
      </c>
      <c r="J52" s="387">
        <f>SUM(G52:H52)</f>
        <v>40687</v>
      </c>
    </row>
    <row r="53" spans="4:14" ht="12">
      <c r="D53" s="463"/>
      <c r="E53" s="365" t="s">
        <v>30</v>
      </c>
      <c r="F53" s="337">
        <v>8159</v>
      </c>
      <c r="G53" s="337">
        <v>28976</v>
      </c>
      <c r="H53" s="338">
        <v>2930</v>
      </c>
      <c r="I53" s="386">
        <f>SUM(F53:H53)</f>
        <v>40065</v>
      </c>
      <c r="J53" s="387">
        <f>SUM(G53:H53)</f>
        <v>31906</v>
      </c>
      <c r="K53" s="452" t="s">
        <v>194</v>
      </c>
      <c r="L53" s="453"/>
      <c r="M53" s="453"/>
      <c r="N53" s="453"/>
    </row>
    <row r="54" spans="4:14" ht="12.75" thickBot="1">
      <c r="D54" s="464"/>
      <c r="E54" s="366" t="s">
        <v>31</v>
      </c>
      <c r="F54" s="339">
        <v>7964</v>
      </c>
      <c r="G54" s="339">
        <v>19973</v>
      </c>
      <c r="H54" s="340">
        <v>2563</v>
      </c>
      <c r="I54" s="388">
        <f>SUM(F54:H54)</f>
        <v>30500</v>
      </c>
      <c r="J54" s="389">
        <f>SUM(G54:H54)</f>
        <v>22536</v>
      </c>
      <c r="K54" s="452">
        <v>1331588.0000000002</v>
      </c>
      <c r="L54" s="453"/>
      <c r="M54" s="453"/>
      <c r="N54" s="453"/>
    </row>
    <row r="56" ht="12.75" thickBot="1"/>
    <row r="57" spans="6:10" ht="12">
      <c r="F57" s="21" t="s">
        <v>32</v>
      </c>
      <c r="G57" s="21" t="s">
        <v>33</v>
      </c>
      <c r="H57" s="26" t="s">
        <v>26</v>
      </c>
      <c r="I57" s="384" t="s">
        <v>152</v>
      </c>
      <c r="J57" s="385" t="s">
        <v>153</v>
      </c>
    </row>
    <row r="58" spans="4:10" ht="12">
      <c r="D58" s="459" t="s">
        <v>193</v>
      </c>
      <c r="E58" s="364" t="s">
        <v>29</v>
      </c>
      <c r="F58" s="335">
        <v>7260</v>
      </c>
      <c r="G58" s="335">
        <v>36276</v>
      </c>
      <c r="H58" s="336">
        <v>3672</v>
      </c>
      <c r="I58" s="386">
        <f>SUM(F58:H58)</f>
        <v>47208</v>
      </c>
      <c r="J58" s="387">
        <f>SUM(G58:H58)</f>
        <v>39948</v>
      </c>
    </row>
    <row r="59" spans="4:14" ht="12">
      <c r="D59" s="460"/>
      <c r="E59" s="365" t="s">
        <v>30</v>
      </c>
      <c r="F59" s="337">
        <v>6902</v>
      </c>
      <c r="G59" s="337">
        <v>29675</v>
      </c>
      <c r="H59" s="338">
        <v>3037</v>
      </c>
      <c r="I59" s="386">
        <f>SUM(F59:H59)</f>
        <v>39614</v>
      </c>
      <c r="J59" s="387">
        <f>SUM(G59:H59)</f>
        <v>32712</v>
      </c>
      <c r="K59" s="452" t="s">
        <v>194</v>
      </c>
      <c r="L59" s="453"/>
      <c r="M59" s="453"/>
      <c r="N59" s="453"/>
    </row>
    <row r="60" spans="4:14" ht="12.75" thickBot="1">
      <c r="D60" s="461"/>
      <c r="E60" s="366" t="s">
        <v>31</v>
      </c>
      <c r="F60" s="339">
        <v>6551</v>
      </c>
      <c r="G60" s="339">
        <v>21190</v>
      </c>
      <c r="H60" s="340">
        <v>2672</v>
      </c>
      <c r="I60" s="388">
        <f>SUM(F60:H60)</f>
        <v>30413</v>
      </c>
      <c r="J60" s="389">
        <f>SUM(G60:H60)</f>
        <v>23862</v>
      </c>
      <c r="K60" s="452">
        <v>1312029.7500000002</v>
      </c>
      <c r="L60" s="453"/>
      <c r="M60" s="453"/>
      <c r="N60" s="453"/>
    </row>
    <row r="62" ht="12.75" thickBot="1"/>
    <row r="63" spans="6:15" ht="12">
      <c r="F63" s="21" t="s">
        <v>32</v>
      </c>
      <c r="G63" s="21" t="s">
        <v>33</v>
      </c>
      <c r="H63" s="26" t="s">
        <v>26</v>
      </c>
      <c r="I63" s="384" t="s">
        <v>152</v>
      </c>
      <c r="J63" s="385" t="s">
        <v>153</v>
      </c>
      <c r="K63" s="452" t="s">
        <v>195</v>
      </c>
      <c r="L63" s="453"/>
      <c r="M63" s="453"/>
      <c r="N63" s="453"/>
      <c r="O63" s="441">
        <v>4.0089</v>
      </c>
    </row>
    <row r="64" spans="5:14" ht="12">
      <c r="E64" s="364" t="s">
        <v>29</v>
      </c>
      <c r="F64" s="367">
        <f aca="true" t="shared" si="3" ref="F64:J66">100%-(F52/F58)</f>
        <v>-0.012396694214876103</v>
      </c>
      <c r="G64" s="367">
        <f t="shared" si="3"/>
        <v>-0.02279744183482202</v>
      </c>
      <c r="H64" s="390">
        <f t="shared" si="3"/>
        <v>0.023965141612200425</v>
      </c>
      <c r="I64" s="391">
        <f t="shared" si="3"/>
        <v>-0.017560582952041992</v>
      </c>
      <c r="J64" s="392">
        <f t="shared" si="3"/>
        <v>-0.01849904876339248</v>
      </c>
      <c r="K64" s="452">
        <f>K54-K60</f>
        <v>19558.25</v>
      </c>
      <c r="L64" s="453"/>
      <c r="M64" s="453"/>
      <c r="N64" s="453"/>
    </row>
    <row r="65" spans="5:14" ht="12">
      <c r="E65" s="365" t="s">
        <v>30</v>
      </c>
      <c r="F65" s="367">
        <f t="shared" si="3"/>
        <v>-0.18212112431179373</v>
      </c>
      <c r="G65" s="367">
        <f t="shared" si="3"/>
        <v>0.02355518112889643</v>
      </c>
      <c r="H65" s="390">
        <f t="shared" si="3"/>
        <v>0.035232136977280226</v>
      </c>
      <c r="I65" s="391">
        <f t="shared" si="3"/>
        <v>-0.011384863936992007</v>
      </c>
      <c r="J65" s="392">
        <f t="shared" si="3"/>
        <v>0.024639276106627528</v>
      </c>
      <c r="K65" s="454">
        <f>K64/K54</f>
        <v>0.014687913979399031</v>
      </c>
      <c r="L65" s="455"/>
      <c r="M65" s="455"/>
      <c r="N65" s="455"/>
    </row>
    <row r="66" spans="5:10" ht="12.75" thickBot="1">
      <c r="E66" s="366" t="s">
        <v>31</v>
      </c>
      <c r="F66" s="367">
        <f t="shared" si="3"/>
        <v>-0.21569226072355363</v>
      </c>
      <c r="G66" s="367">
        <f t="shared" si="3"/>
        <v>0.057432751297782025</v>
      </c>
      <c r="H66" s="390">
        <f t="shared" si="3"/>
        <v>0.040793413173652704</v>
      </c>
      <c r="I66" s="393">
        <f t="shared" si="3"/>
        <v>-0.0028606188143227573</v>
      </c>
      <c r="J66" s="394">
        <f t="shared" si="3"/>
        <v>0.055569524767412615</v>
      </c>
    </row>
    <row r="70" ht="12.75" thickBot="1"/>
    <row r="71" spans="6:10" ht="12">
      <c r="F71" s="21" t="s">
        <v>32</v>
      </c>
      <c r="G71" s="21" t="s">
        <v>33</v>
      </c>
      <c r="H71" s="26" t="s">
        <v>26</v>
      </c>
      <c r="I71" s="384" t="s">
        <v>152</v>
      </c>
      <c r="J71" s="385" t="s">
        <v>153</v>
      </c>
    </row>
    <row r="72" spans="4:10" ht="12">
      <c r="D72" s="459" t="s">
        <v>197</v>
      </c>
      <c r="E72" s="364" t="s">
        <v>29</v>
      </c>
      <c r="F72" s="335">
        <v>7235</v>
      </c>
      <c r="G72" s="335">
        <v>36171</v>
      </c>
      <c r="H72" s="336">
        <v>3672</v>
      </c>
      <c r="I72" s="386">
        <f>SUM(F72:H72)</f>
        <v>47078</v>
      </c>
      <c r="J72" s="387">
        <f>SUM(G72:H72)</f>
        <v>39843</v>
      </c>
    </row>
    <row r="73" spans="4:14" ht="12">
      <c r="D73" s="460"/>
      <c r="E73" s="365" t="s">
        <v>30</v>
      </c>
      <c r="F73" s="337">
        <v>6881</v>
      </c>
      <c r="G73" s="337">
        <v>29599</v>
      </c>
      <c r="H73" s="338">
        <v>3037</v>
      </c>
      <c r="I73" s="386">
        <f>SUM(F73:H73)</f>
        <v>39517</v>
      </c>
      <c r="J73" s="387">
        <f>SUM(G73:H73)</f>
        <v>32636</v>
      </c>
      <c r="K73" s="452" t="s">
        <v>194</v>
      </c>
      <c r="L73" s="453"/>
      <c r="M73" s="453"/>
      <c r="N73" s="453"/>
    </row>
    <row r="74" spans="4:14" ht="12.75" thickBot="1">
      <c r="D74" s="461"/>
      <c r="E74" s="366" t="s">
        <v>31</v>
      </c>
      <c r="F74" s="339">
        <v>6544</v>
      </c>
      <c r="G74" s="339">
        <v>21152</v>
      </c>
      <c r="H74" s="340">
        <v>2672</v>
      </c>
      <c r="I74" s="388">
        <f>SUM(F74:H74)</f>
        <v>30368</v>
      </c>
      <c r="J74" s="389">
        <f>SUM(G74:H74)</f>
        <v>23824</v>
      </c>
      <c r="K74" s="452">
        <v>1308679</v>
      </c>
      <c r="L74" s="453"/>
      <c r="M74" s="453"/>
      <c r="N74" s="453"/>
    </row>
    <row r="78" ht="15">
      <c r="G78" s="443"/>
    </row>
    <row r="79" ht="15">
      <c r="G79" s="444"/>
    </row>
    <row r="80" ht="12">
      <c r="G80" s="442"/>
    </row>
    <row r="82" ht="12.75" thickBot="1"/>
    <row r="83" spans="6:10" ht="12">
      <c r="F83" s="21" t="s">
        <v>32</v>
      </c>
      <c r="G83" s="21" t="s">
        <v>33</v>
      </c>
      <c r="H83" s="26" t="s">
        <v>26</v>
      </c>
      <c r="I83" s="384" t="s">
        <v>152</v>
      </c>
      <c r="J83" s="385" t="s">
        <v>153</v>
      </c>
    </row>
    <row r="84" spans="4:10" ht="12">
      <c r="D84" s="459" t="s">
        <v>197</v>
      </c>
      <c r="E84" s="364" t="s">
        <v>29</v>
      </c>
      <c r="F84" s="335">
        <v>7235</v>
      </c>
      <c r="G84" s="335">
        <v>36171</v>
      </c>
      <c r="H84" s="336">
        <v>3672</v>
      </c>
      <c r="I84" s="386">
        <f>SUM(F84:H84)</f>
        <v>47078</v>
      </c>
      <c r="J84" s="387">
        <f>SUM(G84:H84)</f>
        <v>39843</v>
      </c>
    </row>
    <row r="85" spans="4:14" ht="12">
      <c r="D85" s="460"/>
      <c r="E85" s="365" t="s">
        <v>30</v>
      </c>
      <c r="F85" s="337">
        <v>6881</v>
      </c>
      <c r="G85" s="337">
        <v>29599</v>
      </c>
      <c r="H85" s="338">
        <v>3037</v>
      </c>
      <c r="I85" s="386">
        <f>SUM(F85:H85)</f>
        <v>39517</v>
      </c>
      <c r="J85" s="387">
        <f>SUM(G85:H85)</f>
        <v>32636</v>
      </c>
      <c r="K85" s="452" t="s">
        <v>194</v>
      </c>
      <c r="L85" s="453"/>
      <c r="M85" s="453"/>
      <c r="N85" s="453"/>
    </row>
    <row r="86" spans="4:14" ht="12.75" thickBot="1">
      <c r="D86" s="461"/>
      <c r="E86" s="366" t="s">
        <v>31</v>
      </c>
      <c r="F86" s="339">
        <v>6544</v>
      </c>
      <c r="G86" s="339">
        <v>21152</v>
      </c>
      <c r="H86" s="340">
        <v>2672</v>
      </c>
      <c r="I86" s="388">
        <f>SUM(F86:H86)</f>
        <v>30368</v>
      </c>
      <c r="J86" s="389">
        <f>SUM(G86:H86)</f>
        <v>23824</v>
      </c>
      <c r="K86" s="452">
        <v>1308679</v>
      </c>
      <c r="L86" s="453"/>
      <c r="M86" s="453"/>
      <c r="N86" s="453"/>
    </row>
    <row r="92" spans="5:8" ht="15">
      <c r="E92" s="443"/>
      <c r="F92" s="443" t="s">
        <v>189</v>
      </c>
      <c r="G92" s="443" t="s">
        <v>198</v>
      </c>
      <c r="H92" s="443" t="s">
        <v>191</v>
      </c>
    </row>
    <row r="93" spans="5:8" ht="15">
      <c r="E93" s="444" t="s">
        <v>200</v>
      </c>
      <c r="F93" s="444"/>
      <c r="G93" s="444"/>
      <c r="H93" s="444"/>
    </row>
    <row r="94" spans="5:8" ht="12">
      <c r="E94" s="445" t="s">
        <v>187</v>
      </c>
      <c r="F94" s="442">
        <v>2672.400000000002</v>
      </c>
      <c r="G94" s="442">
        <v>21152.100000000308</v>
      </c>
      <c r="H94" s="442">
        <v>6544.980000000032</v>
      </c>
    </row>
    <row r="95" spans="5:8" ht="12">
      <c r="E95" s="445" t="s">
        <v>192</v>
      </c>
      <c r="F95" s="442">
        <v>3037.2000000000066</v>
      </c>
      <c r="G95" s="442">
        <v>29599.92999999964</v>
      </c>
      <c r="H95" s="442">
        <v>6881.480000000013</v>
      </c>
    </row>
    <row r="96" spans="5:8" ht="12">
      <c r="E96" s="445" t="s">
        <v>188</v>
      </c>
      <c r="F96" s="442">
        <v>3672.0000000000177</v>
      </c>
      <c r="G96" s="442">
        <v>36171.97099999941</v>
      </c>
      <c r="H96" s="442">
        <v>7235.300000000051</v>
      </c>
    </row>
    <row r="97" spans="5:8" ht="15">
      <c r="E97" s="446" t="s">
        <v>180</v>
      </c>
      <c r="F97" s="447"/>
      <c r="G97" s="447"/>
      <c r="H97" s="447"/>
    </row>
    <row r="98" spans="5:8" ht="12">
      <c r="E98" s="9" t="s">
        <v>199</v>
      </c>
      <c r="F98" s="9">
        <v>9381.600000000026</v>
      </c>
      <c r="G98" s="9">
        <v>86924.00099999935</v>
      </c>
      <c r="H98" s="9">
        <v>20661.760000000097</v>
      </c>
    </row>
  </sheetData>
  <sheetProtection/>
  <mergeCells count="29">
    <mergeCell ref="D72:D74"/>
    <mergeCell ref="K73:N73"/>
    <mergeCell ref="K74:N74"/>
    <mergeCell ref="D84:D86"/>
    <mergeCell ref="K85:N85"/>
    <mergeCell ref="K86:N86"/>
    <mergeCell ref="M2:S2"/>
    <mergeCell ref="B2:K2"/>
    <mergeCell ref="B11:C11"/>
    <mergeCell ref="B4:C4"/>
    <mergeCell ref="D3:G3"/>
    <mergeCell ref="H3:K3"/>
    <mergeCell ref="H10:K10"/>
    <mergeCell ref="K54:N54"/>
    <mergeCell ref="K53:N53"/>
    <mergeCell ref="K59:N59"/>
    <mergeCell ref="F8:G8"/>
    <mergeCell ref="F9:G9"/>
    <mergeCell ref="M25:S25"/>
    <mergeCell ref="K63:N63"/>
    <mergeCell ref="K64:N64"/>
    <mergeCell ref="K65:N65"/>
    <mergeCell ref="F10:G10"/>
    <mergeCell ref="B12:D12"/>
    <mergeCell ref="D39:D41"/>
    <mergeCell ref="D52:D54"/>
    <mergeCell ref="D58:D60"/>
    <mergeCell ref="K60:N60"/>
    <mergeCell ref="D33:D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3"/>
  <ignoredErrors>
    <ignoredError sqref="O15 O17 R15 R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9"/>
  <sheetViews>
    <sheetView showGridLines="0" zoomScale="115" zoomScaleNormal="115" zoomScalePageLayoutView="0" workbookViewId="0" topLeftCell="A7">
      <selection activeCell="D25" sqref="D25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9.625" style="1" customWidth="1"/>
    <col min="11" max="11" width="20.625" style="1" customWidth="1"/>
    <col min="12" max="12" width="10.375" style="1" customWidth="1"/>
    <col min="13" max="13" width="8.625" style="1" customWidth="1"/>
    <col min="14" max="14" width="5.625" style="1" customWidth="1"/>
    <col min="15" max="15" width="20.625" style="1" customWidth="1"/>
    <col min="16" max="16" width="8.625" style="1" customWidth="1"/>
    <col min="17" max="17" width="9.00390625" style="1" customWidth="1"/>
    <col min="18" max="18" width="22.50390625" style="1" customWidth="1"/>
    <col min="19" max="19" width="12.50390625" style="1" customWidth="1"/>
    <col min="20" max="16384" width="9.00390625" style="1" customWidth="1"/>
  </cols>
  <sheetData>
    <row r="2" spans="2:11" s="2" customFormat="1" ht="13.5" customHeight="1">
      <c r="B2" s="101" t="s">
        <v>39</v>
      </c>
      <c r="C2" s="13"/>
      <c r="D2" s="13"/>
      <c r="E2" s="13"/>
      <c r="F2" s="13"/>
      <c r="G2" s="12"/>
      <c r="H2" s="12"/>
      <c r="I2" s="12"/>
      <c r="J2" s="12"/>
      <c r="K2" s="44"/>
    </row>
    <row r="3" spans="1:16" s="2" customFormat="1" ht="13.5" customHeight="1">
      <c r="A3" s="3"/>
      <c r="B3" s="491"/>
      <c r="C3" s="492"/>
      <c r="D3" s="47" t="s">
        <v>40</v>
      </c>
      <c r="E3" s="48" t="s">
        <v>41</v>
      </c>
      <c r="F3" s="48" t="s">
        <v>42</v>
      </c>
      <c r="G3" s="48" t="s">
        <v>43</v>
      </c>
      <c r="H3" s="49" t="s">
        <v>44</v>
      </c>
      <c r="I3" s="349"/>
      <c r="J3" s="352" t="s">
        <v>147</v>
      </c>
      <c r="K3" s="488" t="s">
        <v>174</v>
      </c>
      <c r="L3" s="488"/>
      <c r="M3" s="352" t="s">
        <v>148</v>
      </c>
      <c r="O3" s="489" t="s">
        <v>121</v>
      </c>
      <c r="P3" s="489"/>
    </row>
    <row r="4" spans="1:20" s="2" customFormat="1" ht="13.5" customHeight="1">
      <c r="A4" s="3"/>
      <c r="B4" s="482" t="s">
        <v>32</v>
      </c>
      <c r="C4" s="483"/>
      <c r="D4" s="324">
        <v>132500</v>
      </c>
      <c r="E4" s="334">
        <v>173000</v>
      </c>
      <c r="F4" s="46">
        <f>SUM(D4:E4)</f>
        <v>305500</v>
      </c>
      <c r="G4" s="46">
        <f>6*L17</f>
        <v>6046.5</v>
      </c>
      <c r="H4" s="190">
        <f>F4-G4</f>
        <v>299453.5</v>
      </c>
      <c r="I4" s="53"/>
      <c r="J4" s="357">
        <v>0</v>
      </c>
      <c r="K4" s="132" t="s">
        <v>96</v>
      </c>
      <c r="L4" s="325">
        <v>1841.7</v>
      </c>
      <c r="M4" s="325">
        <v>1805.59</v>
      </c>
      <c r="N4" s="3"/>
      <c r="O4" s="249" t="s">
        <v>120</v>
      </c>
      <c r="P4" s="347" t="s">
        <v>118</v>
      </c>
      <c r="R4" s="497"/>
      <c r="S4" s="497"/>
      <c r="T4" s="256"/>
    </row>
    <row r="5" spans="1:21" s="2" customFormat="1" ht="13.5" customHeight="1">
      <c r="A5" s="3"/>
      <c r="B5" s="482" t="s">
        <v>45</v>
      </c>
      <c r="C5" s="483"/>
      <c r="D5" s="324">
        <v>143500</v>
      </c>
      <c r="E5" s="334">
        <v>194000</v>
      </c>
      <c r="F5" s="46">
        <f>SUM(D5:E5)</f>
        <v>337500</v>
      </c>
      <c r="G5" s="46">
        <f>6*L17</f>
        <v>6046.5</v>
      </c>
      <c r="H5" s="190">
        <f>F5-G5</f>
        <v>331453.5</v>
      </c>
      <c r="I5" s="53"/>
      <c r="J5" s="357">
        <v>0</v>
      </c>
      <c r="K5" s="133" t="s">
        <v>97</v>
      </c>
      <c r="L5" s="325">
        <v>1456.44</v>
      </c>
      <c r="M5" s="325">
        <v>1427.48</v>
      </c>
      <c r="O5" s="136" t="s">
        <v>95</v>
      </c>
      <c r="P5" s="251">
        <v>2.3571</v>
      </c>
      <c r="Q5" s="363" t="s">
        <v>173</v>
      </c>
      <c r="R5" s="362"/>
      <c r="S5" s="500"/>
      <c r="T5" s="500"/>
      <c r="U5" s="500"/>
    </row>
    <row r="6" spans="1:21" s="2" customFormat="1" ht="13.5" customHeight="1">
      <c r="A6" s="3"/>
      <c r="B6" s="482" t="s">
        <v>26</v>
      </c>
      <c r="C6" s="483"/>
      <c r="D6" s="324">
        <v>485100</v>
      </c>
      <c r="E6" s="334">
        <v>341000</v>
      </c>
      <c r="F6" s="46">
        <f>SUM(D6:E6)</f>
        <v>826100</v>
      </c>
      <c r="G6" s="46">
        <f>10*L18</f>
        <v>11148.5</v>
      </c>
      <c r="H6" s="190">
        <f>F6-G6</f>
        <v>814951.5</v>
      </c>
      <c r="I6" s="53"/>
      <c r="J6" s="357">
        <v>0</v>
      </c>
      <c r="K6" s="137" t="s">
        <v>54</v>
      </c>
      <c r="L6" s="325">
        <v>1103.24</v>
      </c>
      <c r="M6" s="325">
        <v>1081.61</v>
      </c>
      <c r="R6" s="258"/>
      <c r="S6" s="500"/>
      <c r="T6" s="500"/>
      <c r="U6" s="500"/>
    </row>
    <row r="7" spans="1:21" s="2" customFormat="1" ht="13.5" customHeight="1">
      <c r="A7" s="3"/>
      <c r="B7" s="52"/>
      <c r="C7" s="52"/>
      <c r="D7" s="53"/>
      <c r="E7" s="53"/>
      <c r="F7" s="53"/>
      <c r="G7" s="53"/>
      <c r="H7" s="363" t="s">
        <v>173</v>
      </c>
      <c r="I7" s="54"/>
      <c r="J7" s="45"/>
      <c r="K7" s="137" t="s">
        <v>110</v>
      </c>
      <c r="L7" s="226">
        <v>0.423893</v>
      </c>
      <c r="M7" s="407" t="s">
        <v>118</v>
      </c>
      <c r="O7" s="493" t="s">
        <v>122</v>
      </c>
      <c r="P7" s="493"/>
      <c r="R7" s="252"/>
      <c r="S7" s="500"/>
      <c r="T7" s="500"/>
      <c r="U7" s="500"/>
    </row>
    <row r="8" spans="1:21" s="2" customFormat="1" ht="13.5" customHeight="1">
      <c r="A8" s="3"/>
      <c r="B8" s="12" t="s">
        <v>145</v>
      </c>
      <c r="C8" s="12"/>
      <c r="D8" s="12"/>
      <c r="E8" s="12"/>
      <c r="F8" s="12"/>
      <c r="G8" s="12"/>
      <c r="H8" s="53"/>
      <c r="I8" s="53"/>
      <c r="J8" s="333"/>
      <c r="O8" s="249" t="s">
        <v>120</v>
      </c>
      <c r="P8" s="348">
        <v>0</v>
      </c>
      <c r="R8" s="256"/>
      <c r="S8" s="500"/>
      <c r="T8" s="500"/>
      <c r="U8" s="500"/>
    </row>
    <row r="9" spans="2:21" s="2" customFormat="1" ht="13.5" customHeight="1">
      <c r="B9" s="61" t="s">
        <v>46</v>
      </c>
      <c r="C9" s="64" t="s">
        <v>25</v>
      </c>
      <c r="D9" s="50" t="s">
        <v>45</v>
      </c>
      <c r="E9" s="50" t="s">
        <v>32</v>
      </c>
      <c r="F9" s="50" t="s">
        <v>26</v>
      </c>
      <c r="G9" s="51" t="s">
        <v>47</v>
      </c>
      <c r="H9" s="53"/>
      <c r="I9" s="53"/>
      <c r="J9" s="352" t="s">
        <v>147</v>
      </c>
      <c r="K9" s="488" t="s">
        <v>175</v>
      </c>
      <c r="L9" s="488"/>
      <c r="M9" s="352" t="s">
        <v>148</v>
      </c>
      <c r="N9" s="45"/>
      <c r="O9" s="136" t="s">
        <v>95</v>
      </c>
      <c r="P9" s="251">
        <v>2.4141</v>
      </c>
      <c r="Q9" s="363" t="s">
        <v>173</v>
      </c>
      <c r="S9" s="501"/>
      <c r="T9" s="501"/>
      <c r="U9" s="501"/>
    </row>
    <row r="10" spans="2:21" s="4" customFormat="1" ht="13.5" customHeight="1">
      <c r="B10" s="62">
        <v>2018</v>
      </c>
      <c r="C10" s="65">
        <v>0</v>
      </c>
      <c r="D10" s="55">
        <v>7</v>
      </c>
      <c r="E10" s="55">
        <v>10</v>
      </c>
      <c r="F10" s="55">
        <v>0</v>
      </c>
      <c r="G10" s="56">
        <f>SUM(C10:F10)</f>
        <v>17</v>
      </c>
      <c r="H10" s="407" t="s">
        <v>173</v>
      </c>
      <c r="I10" s="53"/>
      <c r="J10" s="357">
        <v>0</v>
      </c>
      <c r="K10" s="132" t="s">
        <v>111</v>
      </c>
      <c r="L10" s="325">
        <v>550</v>
      </c>
      <c r="M10" s="325">
        <v>550</v>
      </c>
      <c r="N10" s="102"/>
      <c r="O10" s="250" t="s">
        <v>118</v>
      </c>
      <c r="P10" s="248" t="s">
        <v>118</v>
      </c>
      <c r="R10" s="498" t="s">
        <v>131</v>
      </c>
      <c r="S10" s="498"/>
      <c r="T10" s="498"/>
      <c r="U10" s="498"/>
    </row>
    <row r="11" spans="2:21" s="2" customFormat="1" ht="13.5" customHeight="1">
      <c r="B11" s="62">
        <v>2017</v>
      </c>
      <c r="C11" s="65">
        <v>0</v>
      </c>
      <c r="D11" s="55">
        <v>25</v>
      </c>
      <c r="E11" s="55">
        <v>3</v>
      </c>
      <c r="F11" s="55">
        <v>0</v>
      </c>
      <c r="G11" s="56">
        <f aca="true" t="shared" si="0" ref="G11:G21">SUM(C11:F11)</f>
        <v>28</v>
      </c>
      <c r="H11" s="260"/>
      <c r="I11" s="260"/>
      <c r="J11" s="357"/>
      <c r="K11" s="132" t="s">
        <v>155</v>
      </c>
      <c r="L11" s="325">
        <v>0</v>
      </c>
      <c r="M11" s="325">
        <v>0</v>
      </c>
      <c r="N11" s="102"/>
      <c r="O11" s="502" t="s">
        <v>123</v>
      </c>
      <c r="P11" s="502"/>
      <c r="R11" s="499"/>
      <c r="S11" s="499"/>
      <c r="T11" s="499"/>
      <c r="U11" s="499"/>
    </row>
    <row r="12" spans="2:21" s="2" customFormat="1" ht="13.5" customHeight="1">
      <c r="B12" s="62">
        <v>2016</v>
      </c>
      <c r="C12" s="65">
        <v>0</v>
      </c>
      <c r="D12" s="55">
        <v>3</v>
      </c>
      <c r="E12" s="55">
        <v>0</v>
      </c>
      <c r="F12" s="55">
        <v>1</v>
      </c>
      <c r="G12" s="56">
        <f t="shared" si="0"/>
        <v>4</v>
      </c>
      <c r="H12" s="45"/>
      <c r="I12" s="45"/>
      <c r="K12" s="139" t="s">
        <v>112</v>
      </c>
      <c r="L12" s="140">
        <f>L10+L11</f>
        <v>550</v>
      </c>
      <c r="M12" s="363" t="s">
        <v>154</v>
      </c>
      <c r="N12" s="102"/>
      <c r="O12" s="136" t="s">
        <v>120</v>
      </c>
      <c r="P12" s="418">
        <v>1.1</v>
      </c>
      <c r="Q12" s="363" t="s">
        <v>173</v>
      </c>
      <c r="R12" s="257" t="s">
        <v>126</v>
      </c>
      <c r="S12" s="257"/>
      <c r="T12" s="257" t="s">
        <v>127</v>
      </c>
      <c r="U12" s="257" t="s">
        <v>128</v>
      </c>
    </row>
    <row r="13" spans="2:21" s="2" customFormat="1" ht="13.5" customHeight="1">
      <c r="B13" s="62">
        <v>2015</v>
      </c>
      <c r="C13" s="65">
        <v>0</v>
      </c>
      <c r="D13" s="55">
        <v>2</v>
      </c>
      <c r="E13" s="55">
        <v>0</v>
      </c>
      <c r="F13" s="55">
        <v>0</v>
      </c>
      <c r="G13" s="56">
        <f t="shared" si="0"/>
        <v>2</v>
      </c>
      <c r="H13" s="45"/>
      <c r="I13" s="358"/>
      <c r="N13" s="102"/>
      <c r="P13" s="417">
        <v>0.95</v>
      </c>
      <c r="Q13" s="419">
        <v>43009</v>
      </c>
      <c r="R13" s="494" t="s">
        <v>26</v>
      </c>
      <c r="S13" s="495"/>
      <c r="T13" s="420">
        <v>0.5</v>
      </c>
      <c r="U13" s="420">
        <v>0.5</v>
      </c>
    </row>
    <row r="14" spans="2:21" s="2" customFormat="1" ht="13.5" customHeight="1">
      <c r="B14" s="62">
        <v>2014</v>
      </c>
      <c r="C14" s="65">
        <v>0</v>
      </c>
      <c r="D14" s="55">
        <v>8</v>
      </c>
      <c r="E14" s="55">
        <v>0</v>
      </c>
      <c r="F14" s="55">
        <v>1</v>
      </c>
      <c r="G14" s="56">
        <f t="shared" si="0"/>
        <v>9</v>
      </c>
      <c r="H14" s="45"/>
      <c r="I14" s="358"/>
      <c r="J14" s="45"/>
      <c r="M14" s="353"/>
      <c r="N14" s="102"/>
      <c r="R14" s="494" t="s">
        <v>129</v>
      </c>
      <c r="S14" s="495"/>
      <c r="T14" s="420">
        <v>0.44</v>
      </c>
      <c r="U14" s="420">
        <v>0.56</v>
      </c>
    </row>
    <row r="15" spans="2:21" s="2" customFormat="1" ht="13.5" customHeight="1">
      <c r="B15" s="62">
        <v>2013</v>
      </c>
      <c r="C15" s="66">
        <v>0</v>
      </c>
      <c r="D15" s="57">
        <v>23</v>
      </c>
      <c r="E15" s="57">
        <v>2</v>
      </c>
      <c r="F15" s="57">
        <v>8</v>
      </c>
      <c r="G15" s="56">
        <f t="shared" si="0"/>
        <v>33</v>
      </c>
      <c r="H15" s="45"/>
      <c r="I15" s="358"/>
      <c r="J15" s="359"/>
      <c r="N15" s="102"/>
      <c r="O15" s="254"/>
      <c r="P15" s="253"/>
      <c r="R15" s="494" t="s">
        <v>130</v>
      </c>
      <c r="S15" s="495"/>
      <c r="T15" s="420">
        <v>0.37</v>
      </c>
      <c r="U15" s="420">
        <v>0.63</v>
      </c>
    </row>
    <row r="16" spans="2:21" s="2" customFormat="1" ht="13.5" customHeight="1">
      <c r="B16" s="62">
        <v>2012</v>
      </c>
      <c r="C16" s="66">
        <v>0</v>
      </c>
      <c r="D16" s="57">
        <v>10</v>
      </c>
      <c r="E16" s="57">
        <v>15</v>
      </c>
      <c r="F16" s="57">
        <v>4</v>
      </c>
      <c r="G16" s="56">
        <f t="shared" si="0"/>
        <v>29</v>
      </c>
      <c r="H16" s="45"/>
      <c r="I16" s="45"/>
      <c r="J16" s="45"/>
      <c r="K16" s="488" t="s">
        <v>101</v>
      </c>
      <c r="L16" s="488"/>
      <c r="M16" s="396"/>
      <c r="O16" s="254"/>
      <c r="P16" s="255"/>
      <c r="U16" s="363">
        <v>43101</v>
      </c>
    </row>
    <row r="17" spans="2:17" s="2" customFormat="1" ht="13.5" customHeight="1">
      <c r="B17" s="62">
        <v>2011</v>
      </c>
      <c r="C17" s="66">
        <v>0</v>
      </c>
      <c r="D17" s="57">
        <v>0</v>
      </c>
      <c r="E17" s="57">
        <v>0</v>
      </c>
      <c r="F17" s="57">
        <v>0</v>
      </c>
      <c r="G17" s="56">
        <f t="shared" si="0"/>
        <v>0</v>
      </c>
      <c r="H17" s="45"/>
      <c r="I17" s="45"/>
      <c r="J17" s="45"/>
      <c r="K17" s="134" t="s">
        <v>102</v>
      </c>
      <c r="L17" s="325">
        <v>1007.75</v>
      </c>
      <c r="M17" s="363" t="s">
        <v>173</v>
      </c>
      <c r="O17" s="381"/>
      <c r="P17" s="490"/>
      <c r="Q17" s="490"/>
    </row>
    <row r="18" spans="2:24" s="2" customFormat="1" ht="13.5" customHeight="1">
      <c r="B18" s="62">
        <v>2010</v>
      </c>
      <c r="C18" s="66">
        <v>0</v>
      </c>
      <c r="D18" s="57">
        <v>26</v>
      </c>
      <c r="E18" s="57">
        <v>2</v>
      </c>
      <c r="F18" s="57">
        <v>6</v>
      </c>
      <c r="G18" s="56">
        <f t="shared" si="0"/>
        <v>34</v>
      </c>
      <c r="H18" s="45"/>
      <c r="I18" s="45"/>
      <c r="J18" s="45"/>
      <c r="K18" s="135" t="s">
        <v>103</v>
      </c>
      <c r="L18" s="325">
        <v>1114.85</v>
      </c>
      <c r="M18" s="398"/>
      <c r="N18" s="138"/>
      <c r="O18" s="382"/>
      <c r="P18" s="490"/>
      <c r="Q18" s="490"/>
      <c r="R18" s="3"/>
      <c r="S18" s="3"/>
      <c r="T18" s="3"/>
      <c r="U18" s="3"/>
      <c r="V18" s="3"/>
      <c r="W18" s="3"/>
      <c r="X18" s="3"/>
    </row>
    <row r="19" spans="2:24" s="2" customFormat="1" ht="13.5" customHeight="1">
      <c r="B19" s="62">
        <v>2009</v>
      </c>
      <c r="C19" s="66">
        <v>0</v>
      </c>
      <c r="D19" s="57">
        <v>11</v>
      </c>
      <c r="E19" s="57">
        <v>4</v>
      </c>
      <c r="F19" s="57">
        <v>0</v>
      </c>
      <c r="G19" s="56">
        <f t="shared" si="0"/>
        <v>15</v>
      </c>
      <c r="H19" s="45"/>
      <c r="I19" s="45"/>
      <c r="J19" s="45"/>
      <c r="K19" s="135" t="s">
        <v>104</v>
      </c>
      <c r="L19" s="325">
        <v>405</v>
      </c>
      <c r="M19" s="397"/>
      <c r="N19" s="131"/>
      <c r="O19" s="383"/>
      <c r="P19" s="490"/>
      <c r="Q19" s="490"/>
      <c r="R19" s="368"/>
      <c r="S19" s="368"/>
      <c r="T19" s="368"/>
      <c r="U19" s="368"/>
      <c r="V19" s="3"/>
      <c r="W19" s="3"/>
      <c r="X19" s="3"/>
    </row>
    <row r="20" spans="2:24" s="2" customFormat="1" ht="13.5" customHeight="1">
      <c r="B20" s="62">
        <v>2008</v>
      </c>
      <c r="C20" s="66">
        <v>0</v>
      </c>
      <c r="D20" s="57">
        <v>41</v>
      </c>
      <c r="E20" s="57">
        <v>5</v>
      </c>
      <c r="F20" s="57">
        <v>0</v>
      </c>
      <c r="G20" s="56">
        <f t="shared" si="0"/>
        <v>46</v>
      </c>
      <c r="H20" s="45"/>
      <c r="I20" s="45"/>
      <c r="J20" s="45"/>
      <c r="K20" s="135" t="s">
        <v>105</v>
      </c>
      <c r="L20" s="325">
        <v>422</v>
      </c>
      <c r="M20" s="397"/>
      <c r="N20" s="131"/>
      <c r="O20" s="381"/>
      <c r="P20" s="490"/>
      <c r="Q20" s="490"/>
      <c r="R20"/>
      <c r="S20" s="420"/>
      <c r="T20" s="420"/>
      <c r="U20" s="368"/>
      <c r="V20" s="3"/>
      <c r="W20" s="3"/>
      <c r="X20" s="3"/>
    </row>
    <row r="21" spans="2:24" s="2" customFormat="1" ht="13.5" customHeight="1">
      <c r="B21" s="68" t="s">
        <v>22</v>
      </c>
      <c r="C21" s="67">
        <f>SUM(C12:C20)</f>
        <v>0</v>
      </c>
      <c r="D21" s="58">
        <f>SUM(D10:D20)</f>
        <v>156</v>
      </c>
      <c r="E21" s="58">
        <f>SUM(E10:E20)</f>
        <v>41</v>
      </c>
      <c r="F21" s="58">
        <f>SUM(F10:F20)</f>
        <v>20</v>
      </c>
      <c r="G21" s="59">
        <f t="shared" si="0"/>
        <v>217</v>
      </c>
      <c r="H21" s="45"/>
      <c r="I21" s="45"/>
      <c r="J21" s="45"/>
      <c r="N21" s="131"/>
      <c r="O21" s="131"/>
      <c r="P21" s="490"/>
      <c r="Q21" s="490"/>
      <c r="R21"/>
      <c r="S21" s="420"/>
      <c r="T21" s="420"/>
      <c r="U21" s="370"/>
      <c r="V21" s="3"/>
      <c r="W21" s="3"/>
      <c r="X21" s="3"/>
    </row>
    <row r="22" spans="2:24" s="2" customFormat="1" ht="15" customHeight="1">
      <c r="B22" s="68"/>
      <c r="C22" s="60"/>
      <c r="D22" s="60"/>
      <c r="E22" s="60"/>
      <c r="F22" s="60"/>
      <c r="G22" s="60"/>
      <c r="H22" s="45"/>
      <c r="I22" s="45"/>
      <c r="J22" s="45"/>
      <c r="K22" s="488" t="s">
        <v>98</v>
      </c>
      <c r="L22" s="488"/>
      <c r="M22" s="350"/>
      <c r="N22" s="131"/>
      <c r="P22" s="490"/>
      <c r="Q22" s="490"/>
      <c r="R22"/>
      <c r="S22" s="420"/>
      <c r="T22" s="420"/>
      <c r="U22" s="370"/>
      <c r="V22" s="3"/>
      <c r="W22" s="3"/>
      <c r="X22" s="3"/>
    </row>
    <row r="23" spans="2:21" s="3" customFormat="1" ht="9.75" customHeight="1">
      <c r="B23" s="97" t="s">
        <v>61</v>
      </c>
      <c r="C23" s="98">
        <v>0</v>
      </c>
      <c r="D23" s="99">
        <v>143</v>
      </c>
      <c r="E23" s="99">
        <v>35</v>
      </c>
      <c r="F23" s="99">
        <v>17</v>
      </c>
      <c r="G23" s="100">
        <f>SUM(C23:F23)</f>
        <v>195</v>
      </c>
      <c r="H23" s="12"/>
      <c r="I23" s="12"/>
      <c r="J23" s="45"/>
      <c r="K23" s="132" t="s">
        <v>99</v>
      </c>
      <c r="L23" s="326">
        <f>G21</f>
        <v>217</v>
      </c>
      <c r="M23" s="258"/>
      <c r="N23" s="131"/>
      <c r="P23" s="490"/>
      <c r="Q23" s="490"/>
      <c r="R23" s="371"/>
      <c r="S23" s="370"/>
      <c r="T23" s="370"/>
      <c r="U23" s="370"/>
    </row>
    <row r="24" spans="2:24" s="2" customFormat="1" ht="10.5" customHeight="1">
      <c r="B24" s="45"/>
      <c r="C24" s="60"/>
      <c r="D24" s="60"/>
      <c r="E24" s="60"/>
      <c r="F24" s="60"/>
      <c r="G24" s="60"/>
      <c r="H24" s="12"/>
      <c r="I24" s="12"/>
      <c r="J24" s="45"/>
      <c r="K24" s="133" t="s">
        <v>116</v>
      </c>
      <c r="L24" s="327">
        <v>332.2</v>
      </c>
      <c r="M24" s="327"/>
      <c r="N24" s="69"/>
      <c r="P24" s="490"/>
      <c r="Q24" s="490"/>
      <c r="R24" s="371"/>
      <c r="S24" s="370"/>
      <c r="T24" s="370"/>
      <c r="U24" s="370"/>
      <c r="V24" s="3"/>
      <c r="W24" s="3"/>
      <c r="X24" s="3"/>
    </row>
    <row r="25" spans="2:24" s="2" customFormat="1" ht="13.5" customHeight="1">
      <c r="B25" s="95" t="s">
        <v>48</v>
      </c>
      <c r="C25" s="96">
        <f>IF(C21=0,0,((C10*(2018-$B$10))+(C11*(2018-$B$11))+(C12*(2018-$B12))+(C13*(2018-$B13))+(C14*(2018-$B14))+(C15*(2018-$B15))+(C16*(2018-$B16))+(C17*(2018-$B17))+(C18*(2018-$B18))+(C19*(2018-$B19))+(C20*(2018-$B20)))/C21)</f>
        <v>0</v>
      </c>
      <c r="D25" s="96">
        <f>IF(D21=0,0,((D10*(2018-$B$10))+(D11*(2018-$B$11))+(D12*(2018-$B12))+(D13*(2018-$B13))+(D14*(2018-$B14))+(D15*(2018-$B15))+(D16*(2018-$B16))+(D17*(2018-$B17))+(D18*(2018-$B18))+(D19*(2018-$B19))+(D20*(2018-$B20)))/D21)</f>
        <v>6.160256410256411</v>
      </c>
      <c r="E25" s="96">
        <f>IF(E21=0,0,((E10*(2018-$B$10))+(E11*(2018-$B$11))+(E12*(2018-$B12))+(E13*(2018-$B13))+(E14*(2018-$B14))+(E15*(2018-$B15))+(E16*(2018-$B16))+(E17*(2018-$B17))+(E18*(2018-$B18))+(E19*(2018-$B19))+(E20*(2018-$B20)))/E21)</f>
        <v>5</v>
      </c>
      <c r="F25" s="96">
        <f>IF(F21=0,0,((F10*(2018-$B$10))+(F11*(2018-$B$11))+(F12*(2018-$B12))+(F13*(2018-$B13))+(F14*(2018-$B14))+(F15*(2018-$B15))+(F16*(2018-$B16))+(F17*(2018-$B17))+(F18*(2018-$B18))+(F19*(2018-$B19))+(F20*(2018-$B20)))/F21)</f>
        <v>5.9</v>
      </c>
      <c r="G25" s="96">
        <f>IF(G21=0,0,((G10*(2018-$B$10))+(G11*(2018-$B$11))+(G12*(2018-$B12))+(G13*(2018-$B13))+(G14*(2018-$B14))+(G15*(2018-$B15))+(G16*(2018-$B16))+(G17*(2018-$B17))+(G18*(2018-$B18))+(G19*(2018-$B19))+(G20*(2018-$B20)))/G21)</f>
        <v>5.917050691244239</v>
      </c>
      <c r="H25" s="407" t="s">
        <v>173</v>
      </c>
      <c r="I25" s="71"/>
      <c r="J25" s="45"/>
      <c r="K25" s="133" t="s">
        <v>117</v>
      </c>
      <c r="L25" s="327">
        <v>2197.62</v>
      </c>
      <c r="M25" s="400"/>
      <c r="N25" s="69"/>
      <c r="R25" s="369"/>
      <c r="S25" s="370"/>
      <c r="T25" s="370"/>
      <c r="U25" s="370"/>
      <c r="V25" s="372"/>
      <c r="W25" s="372"/>
      <c r="X25" s="373"/>
    </row>
    <row r="26" spans="2:24" s="2" customFormat="1" ht="15" customHeight="1">
      <c r="B26" s="3"/>
      <c r="C26" s="3"/>
      <c r="D26" s="3"/>
      <c r="E26" s="3"/>
      <c r="F26" s="3"/>
      <c r="G26" s="45"/>
      <c r="H26" s="12"/>
      <c r="I26" s="12"/>
      <c r="J26" s="45"/>
      <c r="K26" s="139" t="s">
        <v>100</v>
      </c>
      <c r="L26" s="328">
        <f>L25+L24</f>
        <v>2529.8199999999997</v>
      </c>
      <c r="M26" s="363" t="s">
        <v>173</v>
      </c>
      <c r="N26" s="69"/>
      <c r="O26" s="237"/>
      <c r="R26" s="371"/>
      <c r="S26" s="370"/>
      <c r="T26" s="370"/>
      <c r="U26" s="370"/>
      <c r="V26" s="3"/>
      <c r="W26" s="3"/>
      <c r="X26" s="3"/>
    </row>
    <row r="27" spans="2:24" s="2" customFormat="1" ht="12.75">
      <c r="B27" s="1"/>
      <c r="C27" s="1"/>
      <c r="D27" s="1"/>
      <c r="E27" s="1"/>
      <c r="F27" s="1"/>
      <c r="G27" s="1"/>
      <c r="H27" s="1"/>
      <c r="I27" s="1"/>
      <c r="K27" s="102"/>
      <c r="L27" s="311" t="s">
        <v>118</v>
      </c>
      <c r="M27" s="351"/>
      <c r="R27" s="371"/>
      <c r="S27" s="370"/>
      <c r="T27" s="370"/>
      <c r="U27" s="370"/>
      <c r="V27" s="3"/>
      <c r="W27" s="3"/>
      <c r="X27" s="3"/>
    </row>
    <row r="28" spans="2:24" ht="12.75">
      <c r="B28" s="63"/>
      <c r="C28" s="66"/>
      <c r="D28" s="57"/>
      <c r="E28" s="57"/>
      <c r="F28" s="57"/>
      <c r="K28" s="395" t="s">
        <v>106</v>
      </c>
      <c r="L28" s="350" t="s">
        <v>149</v>
      </c>
      <c r="O28" s="2"/>
      <c r="P28" s="2"/>
      <c r="R28" s="371"/>
      <c r="S28" s="370"/>
      <c r="T28" s="370"/>
      <c r="U28" s="370"/>
      <c r="V28" s="374"/>
      <c r="W28" s="374"/>
      <c r="X28" s="374"/>
    </row>
    <row r="29" spans="11:24" ht="12.75">
      <c r="K29" s="329" t="s">
        <v>107</v>
      </c>
      <c r="L29" s="327">
        <v>59030</v>
      </c>
      <c r="O29" s="354"/>
      <c r="P29" s="2"/>
      <c r="R29" s="371"/>
      <c r="S29" s="370"/>
      <c r="T29" s="370"/>
      <c r="U29" s="370"/>
      <c r="V29" s="374"/>
      <c r="W29" s="374"/>
      <c r="X29" s="374"/>
    </row>
    <row r="30" spans="11:24" ht="12.75">
      <c r="K30" s="329" t="s">
        <v>113</v>
      </c>
      <c r="L30" s="327">
        <v>38341</v>
      </c>
      <c r="O30" s="363">
        <v>42705</v>
      </c>
      <c r="R30" s="369"/>
      <c r="S30" s="370"/>
      <c r="T30" s="370"/>
      <c r="U30" s="370"/>
      <c r="V30" s="374"/>
      <c r="W30" s="374"/>
      <c r="X30" s="374"/>
    </row>
    <row r="31" spans="11:24" ht="12.75">
      <c r="K31" s="329" t="s">
        <v>114</v>
      </c>
      <c r="L31" s="327">
        <v>35817</v>
      </c>
      <c r="R31" s="371"/>
      <c r="S31" s="370"/>
      <c r="T31" s="370"/>
      <c r="U31" s="370"/>
      <c r="V31" s="374"/>
      <c r="W31" s="374"/>
      <c r="X31" s="374"/>
    </row>
    <row r="32" spans="11:24" ht="12.75">
      <c r="K32" s="330" t="s">
        <v>115</v>
      </c>
      <c r="L32" s="327">
        <v>23851</v>
      </c>
      <c r="O32" s="1">
        <v>10</v>
      </c>
      <c r="R32" s="371"/>
      <c r="S32" s="370"/>
      <c r="T32" s="370"/>
      <c r="U32" s="370"/>
      <c r="V32" s="374"/>
      <c r="W32" s="374"/>
      <c r="X32" s="374"/>
    </row>
    <row r="33" spans="5:24" ht="12.75">
      <c r="E33" s="496">
        <v>2017</v>
      </c>
      <c r="F33" s="496"/>
      <c r="K33" s="330" t="s">
        <v>146</v>
      </c>
      <c r="L33" s="327">
        <v>57756</v>
      </c>
      <c r="O33" s="355"/>
      <c r="R33" s="369"/>
      <c r="S33" s="370"/>
      <c r="T33" s="370"/>
      <c r="U33" s="370"/>
      <c r="V33" s="374"/>
      <c r="W33" s="374"/>
      <c r="X33" s="374"/>
    </row>
    <row r="34" spans="5:24" ht="12.75">
      <c r="E34" s="47" t="s">
        <v>40</v>
      </c>
      <c r="F34" s="48" t="s">
        <v>41</v>
      </c>
      <c r="K34" s="139" t="s">
        <v>100</v>
      </c>
      <c r="L34" s="355">
        <f>SUM(L29:L33)</f>
        <v>214795</v>
      </c>
      <c r="M34" s="363" t="s">
        <v>173</v>
      </c>
      <c r="R34" s="374"/>
      <c r="S34" s="374"/>
      <c r="T34" s="374"/>
      <c r="U34" s="374"/>
      <c r="V34" s="374"/>
      <c r="W34" s="374"/>
      <c r="X34" s="374"/>
    </row>
    <row r="35" spans="3:24" ht="12.75">
      <c r="C35" s="482" t="s">
        <v>32</v>
      </c>
      <c r="D35" s="483"/>
      <c r="E35" s="324">
        <v>159000</v>
      </c>
      <c r="F35" s="334">
        <v>126500</v>
      </c>
      <c r="G35" s="1">
        <f>SUM(E35:F35)</f>
        <v>285500</v>
      </c>
      <c r="K35" s="379"/>
      <c r="L35" s="380"/>
      <c r="R35" s="374"/>
      <c r="S35" s="374"/>
      <c r="T35" s="374"/>
      <c r="U35" s="374"/>
      <c r="V35" s="374"/>
      <c r="W35" s="374"/>
      <c r="X35" s="374"/>
    </row>
    <row r="36" spans="3:24" ht="11.25">
      <c r="C36" s="482" t="s">
        <v>45</v>
      </c>
      <c r="D36" s="483"/>
      <c r="E36" s="324">
        <v>178000</v>
      </c>
      <c r="F36" s="334">
        <v>138500</v>
      </c>
      <c r="G36" s="1">
        <f>SUM(E36:F36)</f>
        <v>316500</v>
      </c>
      <c r="R36" s="374"/>
      <c r="S36" s="374"/>
      <c r="T36" s="374"/>
      <c r="U36" s="374"/>
      <c r="V36" s="374"/>
      <c r="W36" s="374"/>
      <c r="X36" s="374"/>
    </row>
    <row r="37" spans="3:24" ht="13.5" thickBot="1">
      <c r="C37" s="482" t="s">
        <v>26</v>
      </c>
      <c r="D37" s="483"/>
      <c r="E37" s="324">
        <v>405000</v>
      </c>
      <c r="F37" s="334">
        <v>309000</v>
      </c>
      <c r="G37" s="1">
        <f>SUM(E37:F37)</f>
        <v>714000</v>
      </c>
      <c r="R37" s="374"/>
      <c r="S37" s="375"/>
      <c r="T37" s="375"/>
      <c r="U37" s="375"/>
      <c r="V37" s="376"/>
      <c r="W37" s="376"/>
      <c r="X37" s="374"/>
    </row>
    <row r="38" spans="10:24" ht="11.25">
      <c r="J38" s="377"/>
      <c r="K38" s="378"/>
      <c r="R38" s="374"/>
      <c r="S38" s="374"/>
      <c r="T38" s="374"/>
      <c r="U38" s="374"/>
      <c r="V38" s="374"/>
      <c r="W38" s="374"/>
      <c r="X38" s="374"/>
    </row>
    <row r="39" spans="5:24" ht="12.75">
      <c r="E39" s="496">
        <v>2018</v>
      </c>
      <c r="F39" s="496"/>
      <c r="J39" s="484"/>
      <c r="K39" s="485"/>
      <c r="R39" s="374"/>
      <c r="S39" s="375"/>
      <c r="T39" s="375"/>
      <c r="U39" s="375"/>
      <c r="V39" s="376"/>
      <c r="W39" s="376"/>
      <c r="X39" s="374"/>
    </row>
    <row r="40" spans="5:24" ht="12.75" customHeight="1">
      <c r="E40" s="47" t="s">
        <v>40</v>
      </c>
      <c r="F40" s="48" t="s">
        <v>41</v>
      </c>
      <c r="J40" s="484"/>
      <c r="K40" s="485"/>
      <c r="R40" s="374"/>
      <c r="S40" s="374"/>
      <c r="T40" s="374"/>
      <c r="U40" s="374"/>
      <c r="V40" s="374"/>
      <c r="W40" s="374"/>
      <c r="X40" s="374"/>
    </row>
    <row r="41" spans="3:24" ht="12.75" customHeight="1">
      <c r="C41" s="482" t="s">
        <v>32</v>
      </c>
      <c r="D41" s="483"/>
      <c r="E41" s="324">
        <v>132500</v>
      </c>
      <c r="F41" s="334">
        <v>173000</v>
      </c>
      <c r="G41" s="1">
        <f>SUM(E41:F41)</f>
        <v>305500</v>
      </c>
      <c r="J41" s="484"/>
      <c r="K41" s="485"/>
      <c r="R41" s="374"/>
      <c r="S41" s="374"/>
      <c r="T41" s="374"/>
      <c r="U41" s="374"/>
      <c r="V41" s="374"/>
      <c r="W41" s="374"/>
      <c r="X41" s="374"/>
    </row>
    <row r="42" spans="3:24" ht="12.75" customHeight="1">
      <c r="C42" s="482" t="s">
        <v>45</v>
      </c>
      <c r="D42" s="483"/>
      <c r="E42" s="324">
        <v>143000</v>
      </c>
      <c r="F42" s="334">
        <v>194000</v>
      </c>
      <c r="G42" s="1">
        <f>SUM(E42:F42)</f>
        <v>337000</v>
      </c>
      <c r="I42" s="358"/>
      <c r="J42" s="484"/>
      <c r="K42" s="485"/>
      <c r="L42" s="358"/>
      <c r="R42" s="374"/>
      <c r="S42" s="374"/>
      <c r="T42" s="374"/>
      <c r="U42" s="374"/>
      <c r="V42" s="374"/>
      <c r="W42" s="374"/>
      <c r="X42" s="374"/>
    </row>
    <row r="43" spans="3:12" ht="12.75" customHeight="1">
      <c r="C43" s="482" t="s">
        <v>26</v>
      </c>
      <c r="D43" s="483"/>
      <c r="E43" s="324">
        <v>405000</v>
      </c>
      <c r="F43" s="334">
        <v>309000</v>
      </c>
      <c r="G43" s="1">
        <f>SUM(E43:F43)</f>
        <v>714000</v>
      </c>
      <c r="J43" s="484"/>
      <c r="K43" s="485"/>
      <c r="L43" s="356"/>
    </row>
    <row r="44" spans="10:11" ht="12.75" customHeight="1" thickBot="1">
      <c r="J44" s="486"/>
      <c r="K44" s="487"/>
    </row>
    <row r="45" spans="5:6" ht="11.25">
      <c r="E45" s="496" t="s">
        <v>176</v>
      </c>
      <c r="F45" s="496"/>
    </row>
    <row r="46" spans="5:6" ht="11.25">
      <c r="E46" s="47" t="s">
        <v>40</v>
      </c>
      <c r="F46" s="48" t="s">
        <v>41</v>
      </c>
    </row>
    <row r="47" spans="3:12" ht="11.25">
      <c r="C47" s="482" t="s">
        <v>32</v>
      </c>
      <c r="D47" s="483"/>
      <c r="E47" s="324" t="s">
        <v>118</v>
      </c>
      <c r="F47" s="324" t="s">
        <v>118</v>
      </c>
      <c r="G47" s="1">
        <f>G41-G35</f>
        <v>20000</v>
      </c>
      <c r="H47" s="421">
        <f>G47/G41</f>
        <v>0.06546644844517185</v>
      </c>
      <c r="L47" s="360"/>
    </row>
    <row r="48" spans="3:8" ht="11.25">
      <c r="C48" s="482" t="s">
        <v>45</v>
      </c>
      <c r="D48" s="483"/>
      <c r="E48" s="324" t="s">
        <v>118</v>
      </c>
      <c r="F48" s="324" t="s">
        <v>118</v>
      </c>
      <c r="G48" s="1">
        <f>G42-G36</f>
        <v>20500</v>
      </c>
      <c r="H48" s="421">
        <f>G48/G42</f>
        <v>0.06083086053412463</v>
      </c>
    </row>
    <row r="49" spans="3:8" ht="11.25">
      <c r="C49" s="482" t="s">
        <v>26</v>
      </c>
      <c r="D49" s="483"/>
      <c r="E49" s="324">
        <f>E37-E43</f>
        <v>0</v>
      </c>
      <c r="F49" s="324">
        <f>F37-F43</f>
        <v>0</v>
      </c>
      <c r="G49" s="1">
        <f>G43-G37</f>
        <v>0</v>
      </c>
      <c r="H49" s="421">
        <f>G49/G43</f>
        <v>0</v>
      </c>
    </row>
  </sheetData>
  <sheetProtection/>
  <mergeCells count="31">
    <mergeCell ref="R4:S4"/>
    <mergeCell ref="R10:U11"/>
    <mergeCell ref="R13:S13"/>
    <mergeCell ref="S5:U9"/>
    <mergeCell ref="R14:S14"/>
    <mergeCell ref="B4:C4"/>
    <mergeCell ref="B5:C5"/>
    <mergeCell ref="O11:P11"/>
    <mergeCell ref="R15:S15"/>
    <mergeCell ref="E45:F45"/>
    <mergeCell ref="E33:F33"/>
    <mergeCell ref="E39:F39"/>
    <mergeCell ref="K22:L22"/>
    <mergeCell ref="K16:L16"/>
    <mergeCell ref="C47:D47"/>
    <mergeCell ref="C48:D48"/>
    <mergeCell ref="C49:D49"/>
    <mergeCell ref="K3:L3"/>
    <mergeCell ref="O3:P3"/>
    <mergeCell ref="P17:Q24"/>
    <mergeCell ref="B3:C3"/>
    <mergeCell ref="O7:P7"/>
    <mergeCell ref="C36:D36"/>
    <mergeCell ref="B6:C6"/>
    <mergeCell ref="C41:D41"/>
    <mergeCell ref="C42:D42"/>
    <mergeCell ref="C43:D43"/>
    <mergeCell ref="C35:D35"/>
    <mergeCell ref="J39:K44"/>
    <mergeCell ref="K9:L9"/>
    <mergeCell ref="C37:D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tabSelected="1" zoomScale="118" zoomScaleNormal="118" zoomScalePageLayoutView="0" workbookViewId="0" topLeftCell="A1">
      <pane ySplit="15" topLeftCell="A16" activePane="bottomLeft" state="frozen"/>
      <selection pane="topLeft" activeCell="A1" sqref="A1"/>
      <selection pane="bottomLeft" activeCell="N2" sqref="N2"/>
    </sheetView>
  </sheetViews>
  <sheetFormatPr defaultColWidth="8.875" defaultRowHeight="12.75"/>
  <cols>
    <col min="1" max="1" width="5.625" style="70" customWidth="1"/>
    <col min="2" max="2" width="25.625" style="6" customWidth="1"/>
    <col min="3" max="11" width="8.625" style="6" customWidth="1"/>
    <col min="12" max="12" width="9.625" style="6" customWidth="1"/>
    <col min="13" max="13" width="7.625" style="6" customWidth="1"/>
    <col min="14" max="14" width="12.875" style="70" customWidth="1"/>
    <col min="15" max="15" width="27.75390625" style="6" customWidth="1"/>
    <col min="16" max="16" width="14.00390625" style="259" customWidth="1"/>
    <col min="17" max="17" width="8.125" style="6" customWidth="1"/>
    <col min="18" max="18" width="19.75390625" style="6" customWidth="1"/>
    <col min="19" max="19" width="17.00390625" style="6" customWidth="1"/>
    <col min="20" max="20" width="18.75390625" style="6" customWidth="1"/>
    <col min="21" max="16384" width="8.875" style="6" customWidth="1"/>
  </cols>
  <sheetData>
    <row r="1" spans="1:14" ht="11.25">
      <c r="A1" s="6"/>
      <c r="B1" s="5"/>
      <c r="E1" s="7"/>
      <c r="F1" s="7"/>
      <c r="G1" s="7"/>
      <c r="H1" s="7"/>
      <c r="I1" s="8"/>
      <c r="J1" s="8"/>
      <c r="K1" s="7"/>
      <c r="L1" s="8"/>
      <c r="M1" s="7"/>
      <c r="N1" s="6"/>
    </row>
    <row r="2" spans="1:16" ht="15" customHeight="1">
      <c r="A2" s="6"/>
      <c r="B2" s="540" t="s">
        <v>201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103"/>
      <c r="O2" s="103"/>
      <c r="P2" s="105"/>
    </row>
    <row r="3" spans="1:16" ht="4.5" customHeight="1">
      <c r="A3" s="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3"/>
      <c r="O3" s="103"/>
      <c r="P3" s="105"/>
    </row>
    <row r="4" spans="2:16" ht="13.5" customHeight="1">
      <c r="B4" s="173" t="s">
        <v>24</v>
      </c>
      <c r="C4" s="550" t="s">
        <v>32</v>
      </c>
      <c r="D4" s="551"/>
      <c r="E4" s="551"/>
      <c r="F4" s="551" t="s">
        <v>45</v>
      </c>
      <c r="G4" s="551" t="s">
        <v>45</v>
      </c>
      <c r="H4" s="551"/>
      <c r="I4" s="551" t="s">
        <v>26</v>
      </c>
      <c r="J4" s="551"/>
      <c r="K4" s="548"/>
      <c r="L4" s="547" t="s">
        <v>27</v>
      </c>
      <c r="M4" s="548"/>
      <c r="N4" s="107"/>
      <c r="O4" s="103"/>
      <c r="P4" s="105"/>
    </row>
    <row r="5" spans="2:16" ht="13.5" customHeight="1">
      <c r="B5" s="119" t="s">
        <v>70</v>
      </c>
      <c r="C5" s="554">
        <f>'Informações da Frota e Custos'!E21</f>
        <v>41</v>
      </c>
      <c r="D5" s="532"/>
      <c r="E5" s="532"/>
      <c r="F5" s="532">
        <f>'Informações da Frota e Custos'!D21</f>
        <v>156</v>
      </c>
      <c r="G5" s="532"/>
      <c r="H5" s="532"/>
      <c r="I5" s="532">
        <f>'Informações da Frota e Custos'!F21</f>
        <v>20</v>
      </c>
      <c r="J5" s="532"/>
      <c r="K5" s="533"/>
      <c r="L5" s="546">
        <f>SUM(C5:K5)</f>
        <v>217</v>
      </c>
      <c r="M5" s="533"/>
      <c r="N5" s="111"/>
      <c r="O5" s="104"/>
      <c r="P5" s="270"/>
    </row>
    <row r="6" spans="2:16" ht="13.5" customHeight="1">
      <c r="B6" s="119" t="s">
        <v>71</v>
      </c>
      <c r="C6" s="554">
        <f>'Informações da Frota e Custos'!E23</f>
        <v>35</v>
      </c>
      <c r="D6" s="532"/>
      <c r="E6" s="532"/>
      <c r="F6" s="532">
        <f>'Informações da Frota e Custos'!D23</f>
        <v>143</v>
      </c>
      <c r="G6" s="532"/>
      <c r="H6" s="532"/>
      <c r="I6" s="532">
        <f>'Informações da Frota e Custos'!F23</f>
        <v>17</v>
      </c>
      <c r="J6" s="532"/>
      <c r="K6" s="533"/>
      <c r="L6" s="546">
        <f>SUM(C6:K6)</f>
        <v>195</v>
      </c>
      <c r="M6" s="533"/>
      <c r="N6" s="111"/>
      <c r="O6" s="104"/>
      <c r="P6" s="270"/>
    </row>
    <row r="7" spans="2:17" ht="13.5" customHeight="1">
      <c r="B7" s="119" t="s">
        <v>72</v>
      </c>
      <c r="C7" s="504">
        <f>'Km, Passageiros e Pessoal'!I9</f>
        <v>215492.91666666666</v>
      </c>
      <c r="D7" s="505"/>
      <c r="E7" s="152">
        <f>C7/L7</f>
        <v>0.16408563825922637</v>
      </c>
      <c r="F7" s="534">
        <f>'Km, Passageiros e Pessoal'!J9</f>
        <v>994175</v>
      </c>
      <c r="G7" s="505"/>
      <c r="H7" s="152">
        <f>F7/L7</f>
        <v>0.757007895849785</v>
      </c>
      <c r="I7" s="534">
        <f>'Km, Passageiros e Pessoal'!K9</f>
        <v>103627.5</v>
      </c>
      <c r="J7" s="505"/>
      <c r="K7" s="153">
        <f>I7/L7</f>
        <v>0.0789064658909886</v>
      </c>
      <c r="L7" s="535">
        <f>SUM(C7,F7,I7)</f>
        <v>1313295.4166666667</v>
      </c>
      <c r="M7" s="536"/>
      <c r="N7" s="107"/>
      <c r="O7" s="402">
        <v>1392824</v>
      </c>
      <c r="P7" s="105"/>
      <c r="Q7" s="6">
        <f>O7-L7</f>
        <v>79528.58333333326</v>
      </c>
    </row>
    <row r="8" spans="2:17" ht="13.5" customHeight="1">
      <c r="B8" s="119" t="s">
        <v>124</v>
      </c>
      <c r="C8" s="504">
        <f>E8*C7</f>
        <v>135760.5375</v>
      </c>
      <c r="D8" s="505"/>
      <c r="E8" s="152">
        <f>'Informações da Frota e Custos'!U15</f>
        <v>0.63</v>
      </c>
      <c r="F8" s="504">
        <f>H8*F7</f>
        <v>556738</v>
      </c>
      <c r="G8" s="505"/>
      <c r="H8" s="152">
        <f>'Informações da Frota e Custos'!U14</f>
        <v>0.56</v>
      </c>
      <c r="I8" s="504">
        <f>K8*I7</f>
        <v>51813.75</v>
      </c>
      <c r="J8" s="505"/>
      <c r="K8" s="153">
        <f>'Informações da Frota e Custos'!U13</f>
        <v>0.5</v>
      </c>
      <c r="L8" s="511">
        <f>(I8+F8+C8)/L7</f>
        <v>0.5667516067246865</v>
      </c>
      <c r="M8" s="512"/>
      <c r="N8" s="107"/>
      <c r="O8" s="103"/>
      <c r="P8" s="105"/>
      <c r="Q8" s="404">
        <f>Q7/L7</f>
        <v>0.060556507183424334</v>
      </c>
    </row>
    <row r="9" spans="2:16" ht="13.5" customHeight="1">
      <c r="B9" s="119" t="s">
        <v>125</v>
      </c>
      <c r="C9" s="504">
        <f>E9*C7</f>
        <v>79732.37916666667</v>
      </c>
      <c r="D9" s="505"/>
      <c r="E9" s="152">
        <f>'Informações da Frota e Custos'!T15</f>
        <v>0.37</v>
      </c>
      <c r="F9" s="504">
        <f>H9*F7</f>
        <v>437437</v>
      </c>
      <c r="G9" s="505"/>
      <c r="H9" s="152">
        <f>'Informações da Frota e Custos'!T14</f>
        <v>0.44</v>
      </c>
      <c r="I9" s="504">
        <f>K9*I7</f>
        <v>51813.75</v>
      </c>
      <c r="J9" s="505"/>
      <c r="K9" s="153">
        <f>'Informações da Frota e Custos'!T13</f>
        <v>0.5</v>
      </c>
      <c r="L9" s="511">
        <f>(I9+F9+C9)/L7</f>
        <v>0.43324839327531345</v>
      </c>
      <c r="M9" s="512"/>
      <c r="N9" s="107"/>
      <c r="O9" s="403"/>
      <c r="P9" s="105"/>
    </row>
    <row r="10" spans="2:16" ht="13.5" customHeight="1">
      <c r="B10" s="119" t="s">
        <v>73</v>
      </c>
      <c r="C10" s="543">
        <f>C7/C6</f>
        <v>6156.940476190476</v>
      </c>
      <c r="D10" s="544"/>
      <c r="E10" s="544"/>
      <c r="F10" s="544">
        <f>F7/F6</f>
        <v>6952.272727272727</v>
      </c>
      <c r="G10" s="544"/>
      <c r="H10" s="544"/>
      <c r="I10" s="544">
        <f>I7/I6</f>
        <v>6095.735294117647</v>
      </c>
      <c r="J10" s="544"/>
      <c r="K10" s="553"/>
      <c r="L10" s="537">
        <f>L7/L6</f>
        <v>6734.848290598291</v>
      </c>
      <c r="M10" s="538"/>
      <c r="N10" s="107"/>
      <c r="O10" s="106"/>
      <c r="P10" s="271"/>
    </row>
    <row r="11" spans="2:16" ht="13.5" customHeight="1">
      <c r="B11" s="119" t="s">
        <v>74</v>
      </c>
      <c r="C11" s="545">
        <f>C7/C5</f>
        <v>5255.924796747967</v>
      </c>
      <c r="D11" s="539"/>
      <c r="E11" s="539"/>
      <c r="F11" s="539">
        <f>F7/F5</f>
        <v>6372.916666666667</v>
      </c>
      <c r="G11" s="539"/>
      <c r="H11" s="539"/>
      <c r="I11" s="539">
        <f>I7/I5</f>
        <v>5181.375</v>
      </c>
      <c r="J11" s="539"/>
      <c r="K11" s="552"/>
      <c r="L11" s="537">
        <f>L7/L5</f>
        <v>6052.052611367128</v>
      </c>
      <c r="M11" s="538"/>
      <c r="N11" s="107"/>
      <c r="O11" s="103"/>
      <c r="P11" s="105"/>
    </row>
    <row r="12" spans="2:16" ht="13.5" customHeight="1">
      <c r="B12" s="541" t="s">
        <v>75</v>
      </c>
      <c r="C12" s="541"/>
      <c r="D12" s="541"/>
      <c r="E12" s="541"/>
      <c r="F12" s="541"/>
      <c r="G12" s="541"/>
      <c r="H12" s="541"/>
      <c r="I12" s="541"/>
      <c r="J12" s="541"/>
      <c r="K12" s="542"/>
      <c r="L12" s="506">
        <f>'Km, Passageiros e Pessoal'!C26</f>
        <v>2092740.9166666667</v>
      </c>
      <c r="M12" s="507"/>
      <c r="N12" s="297"/>
      <c r="O12" s="103"/>
      <c r="P12" s="105"/>
    </row>
    <row r="13" spans="2:16" ht="9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08"/>
      <c r="M13" s="108"/>
      <c r="N13" s="107"/>
      <c r="O13" s="107"/>
      <c r="P13" s="105"/>
    </row>
    <row r="14" spans="2:20" ht="13.5" customHeight="1">
      <c r="B14" s="525" t="s">
        <v>28</v>
      </c>
      <c r="C14" s="527" t="s">
        <v>32</v>
      </c>
      <c r="D14" s="509"/>
      <c r="E14" s="510"/>
      <c r="F14" s="527" t="s">
        <v>45</v>
      </c>
      <c r="G14" s="509" t="s">
        <v>45</v>
      </c>
      <c r="H14" s="531"/>
      <c r="I14" s="508" t="s">
        <v>26</v>
      </c>
      <c r="J14" s="509"/>
      <c r="K14" s="510"/>
      <c r="L14" s="527" t="s">
        <v>76</v>
      </c>
      <c r="M14" s="510"/>
      <c r="N14" s="107"/>
      <c r="O14" s="103"/>
      <c r="P14" s="105"/>
      <c r="T14" s="6">
        <v>12</v>
      </c>
    </row>
    <row r="15" spans="2:16" ht="13.5" customHeight="1">
      <c r="B15" s="526"/>
      <c r="C15" s="174" t="s">
        <v>77</v>
      </c>
      <c r="D15" s="175" t="s">
        <v>78</v>
      </c>
      <c r="E15" s="176" t="s">
        <v>79</v>
      </c>
      <c r="F15" s="174" t="s">
        <v>77</v>
      </c>
      <c r="G15" s="175" t="s">
        <v>78</v>
      </c>
      <c r="H15" s="177" t="s">
        <v>79</v>
      </c>
      <c r="I15" s="178" t="s">
        <v>77</v>
      </c>
      <c r="J15" s="175" t="s">
        <v>78</v>
      </c>
      <c r="K15" s="175" t="s">
        <v>79</v>
      </c>
      <c r="L15" s="174" t="s">
        <v>80</v>
      </c>
      <c r="M15" s="176" t="s">
        <v>2</v>
      </c>
      <c r="N15" s="107"/>
      <c r="O15" s="103"/>
      <c r="P15" s="105"/>
    </row>
    <row r="16" spans="2:14" s="110" customFormat="1" ht="9.75" customHeight="1">
      <c r="B16" s="15"/>
      <c r="C16" s="108"/>
      <c r="D16" s="108"/>
      <c r="E16" s="108"/>
      <c r="F16" s="108"/>
      <c r="G16" s="108"/>
      <c r="H16" s="108"/>
      <c r="I16" s="108"/>
      <c r="J16" s="108"/>
      <c r="K16" s="108"/>
      <c r="L16" s="15"/>
      <c r="M16" s="15"/>
      <c r="N16" s="111"/>
    </row>
    <row r="17" spans="2:14" ht="15" customHeight="1">
      <c r="B17" s="179" t="s">
        <v>83</v>
      </c>
      <c r="C17" s="180"/>
      <c r="D17" s="181"/>
      <c r="E17" s="182">
        <f>SUM(E18:E25)</f>
        <v>0.9352277498878571</v>
      </c>
      <c r="F17" s="183"/>
      <c r="G17" s="184"/>
      <c r="H17" s="185">
        <f>SUM(H18:H25)</f>
        <v>1.1200685884828572</v>
      </c>
      <c r="I17" s="186"/>
      <c r="J17" s="184"/>
      <c r="K17" s="182">
        <f>SUM(K18:K25)</f>
        <v>2.0597492699523805</v>
      </c>
      <c r="L17" s="187">
        <f aca="true" t="shared" si="0" ref="L17:L25">($E17*$E$7)+($H17*$H$7)+($K17*$K$7)</f>
        <v>1.1638857431464218</v>
      </c>
      <c r="M17" s="227">
        <f aca="true" t="shared" si="1" ref="M17:M25">L17/$L$51</f>
        <v>0.20048546163671774</v>
      </c>
      <c r="N17" s="107"/>
    </row>
    <row r="18" spans="1:14" s="8" customFormat="1" ht="15" customHeight="1">
      <c r="A18" s="110"/>
      <c r="B18" s="141" t="s">
        <v>132</v>
      </c>
      <c r="C18" s="149">
        <v>0.3368</v>
      </c>
      <c r="D18" s="145">
        <f>'Informações da Frota e Custos'!P5</f>
        <v>2.3571</v>
      </c>
      <c r="E18" s="113">
        <f>E8*(C18*D18)</f>
        <v>0.5001389064</v>
      </c>
      <c r="F18" s="150">
        <v>0.3982</v>
      </c>
      <c r="G18" s="145">
        <f>'Informações da Frota e Custos'!P5</f>
        <v>2.3571</v>
      </c>
      <c r="H18" s="113">
        <f>H8*(F18*G18)</f>
        <v>0.5256144432000001</v>
      </c>
      <c r="I18" s="151">
        <v>0.7938</v>
      </c>
      <c r="J18" s="145">
        <f>'Informações da Frota e Custos'!P5</f>
        <v>2.3571</v>
      </c>
      <c r="K18" s="113">
        <f>K8*(I18*J18)</f>
        <v>0.9355329899999999</v>
      </c>
      <c r="L18" s="142">
        <f t="shared" si="0"/>
        <v>0.5537794973153335</v>
      </c>
      <c r="M18" s="228">
        <f t="shared" si="1"/>
        <v>0.09539144097089154</v>
      </c>
      <c r="N18" s="111"/>
    </row>
    <row r="19" spans="1:14" s="8" customFormat="1" ht="15" customHeight="1">
      <c r="A19" s="110"/>
      <c r="B19" s="141" t="s">
        <v>133</v>
      </c>
      <c r="C19" s="149">
        <v>0.3065</v>
      </c>
      <c r="D19" s="145">
        <f>'Informações da Frota e Custos'!P9</f>
        <v>2.4141</v>
      </c>
      <c r="E19" s="113">
        <f>E9*(C19*D19)</f>
        <v>0.27377101049999997</v>
      </c>
      <c r="F19" s="150">
        <v>0.3969</v>
      </c>
      <c r="G19" s="145">
        <f>'Informações da Frota e Custos'!P9</f>
        <v>2.4141</v>
      </c>
      <c r="H19" s="113">
        <f>H9*(F19*G19)</f>
        <v>0.42158876759999997</v>
      </c>
      <c r="I19" s="151">
        <v>0.6718</v>
      </c>
      <c r="J19" s="145">
        <f>'Informações da Frota e Custos'!P9</f>
        <v>2.4141</v>
      </c>
      <c r="K19" s="113">
        <f>K9*(I19*J19)</f>
        <v>0.8108961899999999</v>
      </c>
      <c r="L19" s="142">
        <f t="shared" si="0"/>
        <v>0.42805286942691345</v>
      </c>
      <c r="M19" s="228">
        <f>L19/$L$51</f>
        <v>0.07373436579777753</v>
      </c>
      <c r="N19" s="399" t="s">
        <v>118</v>
      </c>
    </row>
    <row r="20" spans="1:14" s="8" customFormat="1" ht="15" customHeight="1">
      <c r="A20" s="110"/>
      <c r="B20" s="141" t="s">
        <v>134</v>
      </c>
      <c r="C20" s="149">
        <v>0.0168</v>
      </c>
      <c r="D20" s="145">
        <f>'Informações da Frota e Custos'!P12</f>
        <v>1.1</v>
      </c>
      <c r="E20" s="113">
        <f>E9*(C20*D20)</f>
        <v>0.0068376</v>
      </c>
      <c r="F20" s="150">
        <v>0.0198</v>
      </c>
      <c r="G20" s="145">
        <f>'Informações da Frota e Custos'!P12</f>
        <v>1.1</v>
      </c>
      <c r="H20" s="113">
        <f>H9*(F20*G20)</f>
        <v>0.009583200000000002</v>
      </c>
      <c r="I20" s="151">
        <v>0.0335</v>
      </c>
      <c r="J20" s="145">
        <f>'Informações da Frota e Custos'!P12</f>
        <v>1.1</v>
      </c>
      <c r="K20" s="113">
        <f>K9*(I20*J20)</f>
        <v>0.018425000000000004</v>
      </c>
      <c r="L20" s="142">
        <f t="shared" si="0"/>
        <v>0.009830361661710413</v>
      </c>
      <c r="M20" s="228">
        <f>L20/$L$51</f>
        <v>0.0016933316757330218</v>
      </c>
      <c r="N20" s="111"/>
    </row>
    <row r="21" spans="1:14" s="8" customFormat="1" ht="15" customHeight="1">
      <c r="A21" s="110"/>
      <c r="B21" s="123" t="s">
        <v>0</v>
      </c>
      <c r="C21" s="154">
        <v>0.05</v>
      </c>
      <c r="D21" s="316">
        <f>E18+E19+E20</f>
        <v>0.7807475169</v>
      </c>
      <c r="E21" s="114">
        <f>C21*D21</f>
        <v>0.039037375845</v>
      </c>
      <c r="F21" s="154">
        <v>0.05</v>
      </c>
      <c r="G21" s="316">
        <f>H18+H19+H20</f>
        <v>0.9567864108</v>
      </c>
      <c r="H21" s="115">
        <f>0.05*G21</f>
        <v>0.04783932054000001</v>
      </c>
      <c r="I21" s="154">
        <v>0.05</v>
      </c>
      <c r="J21" s="316">
        <f>K18+K19+K20</f>
        <v>1.7648541799999997</v>
      </c>
      <c r="K21" s="114">
        <f>0.05*J21</f>
        <v>0.08824270899999999</v>
      </c>
      <c r="L21" s="112">
        <f t="shared" si="0"/>
        <v>0.049583136420197876</v>
      </c>
      <c r="M21" s="229">
        <f t="shared" si="1"/>
        <v>0.008540956922220106</v>
      </c>
      <c r="N21" s="111"/>
    </row>
    <row r="22" spans="1:14" s="8" customFormat="1" ht="15" customHeight="1">
      <c r="A22" s="110"/>
      <c r="B22" s="143" t="s">
        <v>62</v>
      </c>
      <c r="C22" s="155">
        <f>6*1/105000</f>
        <v>5.714285714285714E-05</v>
      </c>
      <c r="D22" s="160">
        <f>'Informações da Frota e Custos'!L17</f>
        <v>1007.75</v>
      </c>
      <c r="E22" s="114">
        <f>C22*D22</f>
        <v>0.05758571428571428</v>
      </c>
      <c r="F22" s="155">
        <f>6*1/105000</f>
        <v>5.714285714285714E-05</v>
      </c>
      <c r="G22" s="160">
        <f>'Informações da Frota e Custos'!L17</f>
        <v>1007.75</v>
      </c>
      <c r="H22" s="115">
        <f>F22*G22</f>
        <v>0.05758571428571428</v>
      </c>
      <c r="I22" s="154"/>
      <c r="J22" s="147"/>
      <c r="K22" s="114"/>
      <c r="L22" s="112">
        <f t="shared" si="0"/>
        <v>0.05304182908562036</v>
      </c>
      <c r="M22" s="229">
        <f t="shared" si="1"/>
        <v>0.009136734987008654</v>
      </c>
      <c r="N22" s="111"/>
    </row>
    <row r="23" spans="1:14" s="8" customFormat="1" ht="15" customHeight="1">
      <c r="A23" s="110"/>
      <c r="B23" s="143" t="s">
        <v>63</v>
      </c>
      <c r="C23" s="154"/>
      <c r="D23" s="172"/>
      <c r="E23" s="114"/>
      <c r="F23" s="157"/>
      <c r="G23" s="46"/>
      <c r="H23" s="115"/>
      <c r="I23" s="155">
        <f>10*1/105000</f>
        <v>9.523809523809524E-05</v>
      </c>
      <c r="J23" s="147">
        <f>'Informações da Frota e Custos'!L18</f>
        <v>1114.85</v>
      </c>
      <c r="K23" s="114">
        <f>I23*J23</f>
        <v>0.10617619047619047</v>
      </c>
      <c r="L23" s="112">
        <f t="shared" si="0"/>
        <v>0.008377987952244632</v>
      </c>
      <c r="M23" s="229">
        <f t="shared" si="1"/>
        <v>0.0014431526394093099</v>
      </c>
      <c r="N23" s="111"/>
    </row>
    <row r="24" spans="1:14" s="8" customFormat="1" ht="15" customHeight="1">
      <c r="A24" s="110"/>
      <c r="B24" s="143" t="s">
        <v>64</v>
      </c>
      <c r="C24" s="155">
        <f>2.5*6/105000</f>
        <v>0.00014285714285714287</v>
      </c>
      <c r="D24" s="160">
        <f>'Informações da Frota e Custos'!L19</f>
        <v>405</v>
      </c>
      <c r="E24" s="114">
        <f>C24*D24</f>
        <v>0.057857142857142864</v>
      </c>
      <c r="F24" s="155">
        <f>2.5*6/105000</f>
        <v>0.00014285714285714287</v>
      </c>
      <c r="G24" s="160">
        <f>'Informações da Frota e Custos'!L19</f>
        <v>405</v>
      </c>
      <c r="H24" s="115">
        <f>F24*G24</f>
        <v>0.057857142857142864</v>
      </c>
      <c r="I24" s="154"/>
      <c r="J24" s="147"/>
      <c r="K24" s="114"/>
      <c r="L24" s="112">
        <f t="shared" si="0"/>
        <v>0.05329184018773566</v>
      </c>
      <c r="M24" s="229">
        <f t="shared" si="1"/>
        <v>0.009179800718775749</v>
      </c>
      <c r="N24" s="111"/>
    </row>
    <row r="25" spans="1:14" s="8" customFormat="1" ht="15" customHeight="1">
      <c r="A25" s="110"/>
      <c r="B25" s="144" t="s">
        <v>65</v>
      </c>
      <c r="C25" s="156"/>
      <c r="D25" s="146"/>
      <c r="E25" s="126"/>
      <c r="F25" s="158"/>
      <c r="G25" s="148"/>
      <c r="H25" s="127"/>
      <c r="I25" s="159">
        <f>2.5*10/105000</f>
        <v>0.0002380952380952381</v>
      </c>
      <c r="J25" s="148">
        <f>'Informações da Frota e Custos'!L20</f>
        <v>422</v>
      </c>
      <c r="K25" s="129">
        <f>I25*J25</f>
        <v>0.10047619047619048</v>
      </c>
      <c r="L25" s="189">
        <f t="shared" si="0"/>
        <v>0.007928221096665997</v>
      </c>
      <c r="M25" s="230">
        <f t="shared" si="1"/>
        <v>0.001365677924901845</v>
      </c>
      <c r="N25" s="111"/>
    </row>
    <row r="26" spans="2:14" s="110" customFormat="1" ht="9.75" customHeight="1">
      <c r="B26" s="15"/>
      <c r="C26" s="108"/>
      <c r="D26" s="108"/>
      <c r="E26" s="108"/>
      <c r="F26" s="108"/>
      <c r="G26" s="108"/>
      <c r="H26" s="108"/>
      <c r="I26" s="108"/>
      <c r="J26" s="108"/>
      <c r="K26" s="108"/>
      <c r="L26" s="15"/>
      <c r="M26" s="231"/>
      <c r="N26" s="111"/>
    </row>
    <row r="27" spans="1:14" s="193" customFormat="1" ht="15" customHeight="1">
      <c r="A27" s="192"/>
      <c r="B27" s="198" t="s">
        <v>84</v>
      </c>
      <c r="C27" s="194"/>
      <c r="D27" s="195"/>
      <c r="E27" s="196">
        <f>SUM(E28:E40)</f>
        <v>2.703495265897976</v>
      </c>
      <c r="F27" s="199"/>
      <c r="G27" s="200"/>
      <c r="H27" s="197">
        <f>SUM(H28:H40)</f>
        <v>4.0206109414421425</v>
      </c>
      <c r="I27" s="201"/>
      <c r="J27" s="200"/>
      <c r="K27" s="196">
        <f>SUM(K28:K40)</f>
        <v>5.098572106123811</v>
      </c>
      <c r="L27" s="202">
        <f aca="true" t="shared" si="2" ref="L27:L40">($E27*$E$7)+($H27*$H$7)+($K27*$K$7)</f>
        <v>3.88954928103201</v>
      </c>
      <c r="M27" s="232">
        <f aca="true" t="shared" si="3" ref="M27:M40">L27/$L$51</f>
        <v>0.6699953906629855</v>
      </c>
      <c r="N27" s="192"/>
    </row>
    <row r="28" spans="2:14" ht="15" customHeight="1">
      <c r="B28" s="120" t="s">
        <v>3</v>
      </c>
      <c r="C28" s="315">
        <v>0.0064</v>
      </c>
      <c r="D28" s="164">
        <f>'Informações da Frota e Custos'!H4</f>
        <v>299453.5</v>
      </c>
      <c r="E28" s="166">
        <f>(C28*D28)/C10</f>
        <v>0.3112751223454754</v>
      </c>
      <c r="F28" s="315">
        <v>0.0064</v>
      </c>
      <c r="G28" s="162">
        <f>'Informações da Frota e Custos'!H5</f>
        <v>331453.5</v>
      </c>
      <c r="H28" s="166">
        <f>(F28*G28)/F10</f>
        <v>0.3051235881006865</v>
      </c>
      <c r="I28" s="315">
        <v>0.0064</v>
      </c>
      <c r="J28" s="162">
        <f>'Informações da Frota e Custos'!H6</f>
        <v>814951.5</v>
      </c>
      <c r="K28" s="166">
        <f>(I28*J28)/I10</f>
        <v>0.8556292798726208</v>
      </c>
      <c r="L28" s="142">
        <f>($E28*$E$7)+($H28*$H$7)+($K28*$K$7)</f>
        <v>0.3495714251141134</v>
      </c>
      <c r="M28" s="228">
        <f t="shared" si="3"/>
        <v>0.060215522830913706</v>
      </c>
      <c r="N28" s="107"/>
    </row>
    <row r="29" spans="2:14" ht="15" customHeight="1">
      <c r="B29" s="122" t="s">
        <v>4</v>
      </c>
      <c r="C29" s="161">
        <f>'Km, Passageiros e Pessoal'!O20</f>
        <v>3.2972871794871788</v>
      </c>
      <c r="D29" s="46">
        <f>'Informações da Frota e Custos'!L5</f>
        <v>1456.44</v>
      </c>
      <c r="E29" s="167">
        <f>(C29*D29*1.423893)/C$10</f>
        <v>1.1106104920722242</v>
      </c>
      <c r="F29" s="161">
        <f>C29</f>
        <v>3.2972871794871788</v>
      </c>
      <c r="G29" s="147">
        <f>'Informações da Frota e Custos'!L4</f>
        <v>1841.7</v>
      </c>
      <c r="H29" s="167">
        <f>(F29*G29*1.423893)/F$10</f>
        <v>1.2437303049710458</v>
      </c>
      <c r="I29" s="161">
        <f>F29</f>
        <v>3.2972871794871788</v>
      </c>
      <c r="J29" s="147">
        <f>'Informações da Frota e Custos'!L4</f>
        <v>1841.7</v>
      </c>
      <c r="K29" s="167">
        <f>(I29*J29*1.423893)/I$10</f>
        <v>1.418492087029577</v>
      </c>
      <c r="L29" s="112">
        <f>($E29*$E$7)+($H29*$H$7)+($K29*$K$7)</f>
        <v>1.2356770901016436</v>
      </c>
      <c r="M29" s="229">
        <f t="shared" si="3"/>
        <v>0.21285190002690663</v>
      </c>
      <c r="N29" s="107"/>
    </row>
    <row r="30" spans="2:14" ht="15" customHeight="1">
      <c r="B30" s="122" t="s">
        <v>5</v>
      </c>
      <c r="C30" s="161">
        <v>0</v>
      </c>
      <c r="D30" s="46">
        <v>0</v>
      </c>
      <c r="E30" s="167">
        <f>(C30*D30*1.423893)/C$10</f>
        <v>0</v>
      </c>
      <c r="F30" s="157">
        <f>'Km, Passageiros e Pessoal'!R20</f>
        <v>3.432180773255209</v>
      </c>
      <c r="G30" s="147">
        <f>'Informações da Frota e Custos'!L6</f>
        <v>1103.24</v>
      </c>
      <c r="H30" s="167">
        <f>(F30*G30*1.423893)/F$10</f>
        <v>0.7755159032952631</v>
      </c>
      <c r="I30" s="157">
        <f>F30</f>
        <v>3.432180773255209</v>
      </c>
      <c r="J30" s="147">
        <f>'Informações da Frota e Custos'!L6</f>
        <v>1103.24</v>
      </c>
      <c r="K30" s="451">
        <f>(I30*J30*1.423893)/I$10</f>
        <v>0.884486908289603</v>
      </c>
      <c r="L30" s="112">
        <f>($E30*$E$7)+($H30*$H$7)+($K30*$K$7)</f>
        <v>0.6568633982115719</v>
      </c>
      <c r="M30" s="229">
        <f t="shared" si="3"/>
        <v>0.11314818692314095</v>
      </c>
      <c r="N30" s="107"/>
    </row>
    <row r="31" spans="2:14" ht="15" customHeight="1">
      <c r="B31" s="122" t="s">
        <v>66</v>
      </c>
      <c r="C31" s="161">
        <f>1/5</f>
        <v>0.2</v>
      </c>
      <c r="D31" s="147">
        <f>G31</f>
        <v>1841.7</v>
      </c>
      <c r="E31" s="167">
        <f>(C31*D31*1.423893)/C$10</f>
        <v>0.08518463831966636</v>
      </c>
      <c r="F31" s="161">
        <f>1/5</f>
        <v>0.2</v>
      </c>
      <c r="G31" s="147">
        <f>'Informações da Frota e Custos'!L4</f>
        <v>1841.7</v>
      </c>
      <c r="H31" s="167">
        <f>(F31*G31*1.423893)/F$10</f>
        <v>0.07543961064164761</v>
      </c>
      <c r="I31" s="161">
        <f>1/5</f>
        <v>0.2</v>
      </c>
      <c r="J31" s="147">
        <f>'Informações da Frota e Custos'!L4</f>
        <v>1841.7</v>
      </c>
      <c r="K31" s="167">
        <f>(I31*J31*1.423893)/I$10</f>
        <v>0.08603994798234062</v>
      </c>
      <c r="L31" s="112">
        <f>($E31*$E$7)+($H31*$H$7)+($K31*$K$7)</f>
        <v>0.0778750648848555</v>
      </c>
      <c r="M31" s="229">
        <f t="shared" si="3"/>
        <v>0.013414390910247143</v>
      </c>
      <c r="N31" s="107"/>
    </row>
    <row r="32" spans="2:14" ht="15" customHeight="1">
      <c r="B32" s="121" t="s">
        <v>6</v>
      </c>
      <c r="C32" s="161">
        <v>0.135</v>
      </c>
      <c r="D32" s="165">
        <f>SUM(E29:E31)</f>
        <v>1.1957951303918906</v>
      </c>
      <c r="E32" s="167">
        <f>C32*D32</f>
        <v>0.16143234260290523</v>
      </c>
      <c r="F32" s="161">
        <v>0.135</v>
      </c>
      <c r="G32" s="165">
        <f>SUM(H29:H31)</f>
        <v>2.0946858189079567</v>
      </c>
      <c r="H32" s="170">
        <f>F32*G32</f>
        <v>0.2827825855525742</v>
      </c>
      <c r="I32" s="161">
        <v>0.135</v>
      </c>
      <c r="J32" s="165">
        <f>SUM(K29:K31)</f>
        <v>2.3890189433015205</v>
      </c>
      <c r="K32" s="167">
        <f>I32*J32</f>
        <v>0.3225175573457053</v>
      </c>
      <c r="L32" s="112">
        <f t="shared" si="2"/>
        <v>0.26600609968173966</v>
      </c>
      <c r="M32" s="229">
        <f t="shared" si="3"/>
        <v>0.0458209545111398</v>
      </c>
      <c r="N32" s="107"/>
    </row>
    <row r="33" spans="2:14" ht="15" customHeight="1">
      <c r="B33" s="121" t="s">
        <v>49</v>
      </c>
      <c r="C33" s="161">
        <f>C29+C30+C31+((C29+C30+C31)*C32)</f>
        <v>3.969420948717948</v>
      </c>
      <c r="D33" s="46">
        <f>'Informações da Frota e Custos'!L12</f>
        <v>550</v>
      </c>
      <c r="E33" s="168">
        <f>(C33*D33)/C10</f>
        <v>0.35458870038413715</v>
      </c>
      <c r="F33" s="161">
        <f>F29+F30+F31+((F29+F30+F31)*F32)</f>
        <v>7.864946126362611</v>
      </c>
      <c r="G33" s="46">
        <f>D33</f>
        <v>550</v>
      </c>
      <c r="H33" s="171">
        <f>(F33*G33)/F10</f>
        <v>0.622202341477526</v>
      </c>
      <c r="I33" s="161">
        <f>I29+I30+I31+((I29+I30+I31)*I32)</f>
        <v>7.864946126362611</v>
      </c>
      <c r="J33" s="46">
        <f>G33</f>
        <v>550</v>
      </c>
      <c r="K33" s="168">
        <f>(I33*J33)/I10</f>
        <v>0.7096306123518411</v>
      </c>
      <c r="L33" s="112">
        <f t="shared" si="2"/>
        <v>0.585189442245494</v>
      </c>
      <c r="M33" s="229">
        <f t="shared" si="3"/>
        <v>0.1008019697503603</v>
      </c>
      <c r="N33" s="125"/>
    </row>
    <row r="34" spans="2:14" ht="15" customHeight="1">
      <c r="B34" s="121" t="s">
        <v>7</v>
      </c>
      <c r="C34" s="161"/>
      <c r="D34" s="165"/>
      <c r="E34" s="169">
        <f>(((D29)*0.1/12)*(C29+C30+C31)*C6)/C7</f>
        <v>0.006894101812674846</v>
      </c>
      <c r="F34" s="157"/>
      <c r="G34" s="163"/>
      <c r="H34" s="169">
        <f>(((G29)*0.1/12)*(F29+F30+F31)*F6)/F7</f>
        <v>0.015297157286065406</v>
      </c>
      <c r="I34" s="154"/>
      <c r="J34" s="163"/>
      <c r="K34" s="169">
        <f>(((J29)*0.1/12)*(I29+I30+I31)*I6)/I7</f>
        <v>0.01744662526723249</v>
      </c>
      <c r="L34" s="112">
        <f t="shared" si="2"/>
        <v>0.014087943487326164</v>
      </c>
      <c r="M34" s="229">
        <f t="shared" si="3"/>
        <v>0.00242672261448369</v>
      </c>
      <c r="N34" s="107"/>
    </row>
    <row r="35" spans="2:14" ht="15" customHeight="1">
      <c r="B35" s="121" t="s">
        <v>8</v>
      </c>
      <c r="C35" s="161">
        <f>C7/$L$7/C6</f>
        <v>0.004688161093120753</v>
      </c>
      <c r="D35" s="46">
        <f>'Informações da Frota e Custos'!L34</f>
        <v>214795</v>
      </c>
      <c r="E35" s="167">
        <f>D35*C35/C10</f>
        <v>0.16355421428727793</v>
      </c>
      <c r="F35" s="161">
        <f>F7/$L$7/F6</f>
        <v>0.005293761509439056</v>
      </c>
      <c r="G35" s="46">
        <f>D35</f>
        <v>214795</v>
      </c>
      <c r="H35" s="170">
        <f>G35*F35/F10</f>
        <v>0.16355421428727795</v>
      </c>
      <c r="I35" s="161">
        <f>I7/$L$7/I6</f>
        <v>0.004641556817116976</v>
      </c>
      <c r="J35" s="46">
        <f>G35</f>
        <v>214795</v>
      </c>
      <c r="K35" s="167">
        <f>J35*I35/I10</f>
        <v>0.16355421428727795</v>
      </c>
      <c r="L35" s="112">
        <f t="shared" si="2"/>
        <v>0.16355421428727795</v>
      </c>
      <c r="M35" s="229">
        <f t="shared" si="3"/>
        <v>0.028173076564518434</v>
      </c>
      <c r="N35" s="107"/>
    </row>
    <row r="36" spans="2:14" ht="15" customHeight="1">
      <c r="B36" s="121" t="s">
        <v>81</v>
      </c>
      <c r="C36" s="154"/>
      <c r="D36" s="46">
        <f>'Informações da Frota e Custos'!L26</f>
        <v>2529.8199999999997</v>
      </c>
      <c r="E36" s="167">
        <f>D36/12/C11</f>
        <v>0.04011060688383029</v>
      </c>
      <c r="F36" s="157"/>
      <c r="G36" s="46">
        <f>D36</f>
        <v>2529.8199999999997</v>
      </c>
      <c r="H36" s="170">
        <f>G36/12/F11</f>
        <v>0.03308035305655442</v>
      </c>
      <c r="I36" s="154"/>
      <c r="J36" s="46">
        <f>G36</f>
        <v>2529.8199999999997</v>
      </c>
      <c r="K36" s="167">
        <f>J36/12/I11</f>
        <v>0.04068771963684028</v>
      </c>
      <c r="L36" s="112">
        <f t="shared" si="2"/>
        <v>0.034834187154514924</v>
      </c>
      <c r="M36" s="229">
        <f t="shared" si="3"/>
        <v>0.006000372573971948</v>
      </c>
      <c r="N36" s="107"/>
    </row>
    <row r="37" spans="2:14" ht="15" customHeight="1">
      <c r="B37" s="121" t="s">
        <v>82</v>
      </c>
      <c r="C37" s="154"/>
      <c r="D37" s="46">
        <v>0</v>
      </c>
      <c r="E37" s="167">
        <f>D37/L7</f>
        <v>0</v>
      </c>
      <c r="F37" s="157"/>
      <c r="G37" s="147"/>
      <c r="H37" s="170">
        <f>G37/L7</f>
        <v>0</v>
      </c>
      <c r="I37" s="154"/>
      <c r="J37" s="147"/>
      <c r="K37" s="188">
        <f>J37/L7</f>
        <v>0</v>
      </c>
      <c r="L37" s="112">
        <f t="shared" si="2"/>
        <v>0</v>
      </c>
      <c r="M37" s="229">
        <f t="shared" si="3"/>
        <v>0</v>
      </c>
      <c r="N37" s="107"/>
    </row>
    <row r="38" spans="2:14" ht="15" customHeight="1">
      <c r="B38" s="123" t="s">
        <v>12</v>
      </c>
      <c r="C38" s="161">
        <v>0.105</v>
      </c>
      <c r="D38" s="165">
        <f>SUM(E29:E31)</f>
        <v>1.1957951303918906</v>
      </c>
      <c r="E38" s="167">
        <f>C38*D38</f>
        <v>0.1255584886911485</v>
      </c>
      <c r="F38" s="161">
        <v>0.105</v>
      </c>
      <c r="G38" s="165">
        <f>SUM(H29:H31)</f>
        <v>2.0946858189079567</v>
      </c>
      <c r="H38" s="170">
        <f>F38*G38</f>
        <v>0.21994201098533545</v>
      </c>
      <c r="I38" s="161">
        <v>0.105</v>
      </c>
      <c r="J38" s="165">
        <f>SUM(K29:K31)</f>
        <v>2.3890189433015205</v>
      </c>
      <c r="K38" s="167">
        <f>I38*J38</f>
        <v>0.25084698904665964</v>
      </c>
      <c r="L38" s="112">
        <f t="shared" si="2"/>
        <v>0.20689363308579747</v>
      </c>
      <c r="M38" s="229">
        <f t="shared" si="3"/>
        <v>0.035638520175330944</v>
      </c>
      <c r="N38" s="111"/>
    </row>
    <row r="39" spans="2:14" ht="15" customHeight="1">
      <c r="B39" s="123" t="s">
        <v>10</v>
      </c>
      <c r="C39" s="161">
        <v>0.0033</v>
      </c>
      <c r="D39" s="46">
        <f>'Informações da Frota e Custos'!F5</f>
        <v>337500</v>
      </c>
      <c r="E39" s="167">
        <f>C39*D39/$C$11</f>
        <v>0.21190371686617698</v>
      </c>
      <c r="F39" s="161">
        <f>C39</f>
        <v>0.0033</v>
      </c>
      <c r="G39" s="46">
        <f>D39</f>
        <v>337500</v>
      </c>
      <c r="H39" s="167">
        <f>F39*G39/$F$11</f>
        <v>0.1747629944426283</v>
      </c>
      <c r="I39" s="161">
        <f>F39</f>
        <v>0.0033</v>
      </c>
      <c r="J39" s="46">
        <f>G39</f>
        <v>337500</v>
      </c>
      <c r="K39" s="167">
        <f>I39*J39/$I$11</f>
        <v>0.21495259462980387</v>
      </c>
      <c r="L39" s="112">
        <f t="shared" si="2"/>
        <v>0.1840284729032469</v>
      </c>
      <c r="M39" s="229">
        <f t="shared" si="3"/>
        <v>0.03169987566353934</v>
      </c>
      <c r="N39" s="111"/>
    </row>
    <row r="40" spans="2:14" ht="15" customHeight="1">
      <c r="B40" s="128" t="s">
        <v>11</v>
      </c>
      <c r="C40" s="161">
        <v>0.3778</v>
      </c>
      <c r="D40" s="46">
        <f>G40</f>
        <v>1841.7</v>
      </c>
      <c r="E40" s="312">
        <f>C40*D40/$C$11</f>
        <v>0.13238284163245895</v>
      </c>
      <c r="F40" s="161">
        <f>C40</f>
        <v>0.3778</v>
      </c>
      <c r="G40" s="147">
        <f>G29</f>
        <v>1841.7</v>
      </c>
      <c r="H40" s="312">
        <f>F40*G40/$F$11</f>
        <v>0.10917987734553776</v>
      </c>
      <c r="I40" s="161">
        <f>F40</f>
        <v>0.3778</v>
      </c>
      <c r="J40" s="147">
        <f>J29</f>
        <v>1841.7</v>
      </c>
      <c r="K40" s="312">
        <f>I40*J40/$I$11</f>
        <v>0.1342875703843092</v>
      </c>
      <c r="L40" s="189">
        <f t="shared" si="2"/>
        <v>0.11496830987442849</v>
      </c>
      <c r="M40" s="230">
        <f t="shared" si="3"/>
        <v>0.019803898118432653</v>
      </c>
      <c r="N40" s="111"/>
    </row>
    <row r="41" spans="2:14" s="110" customFormat="1" ht="9.75" customHeight="1">
      <c r="B41" s="15"/>
      <c r="C41" s="108"/>
      <c r="D41" s="108"/>
      <c r="E41" s="108"/>
      <c r="F41" s="108"/>
      <c r="G41" s="108"/>
      <c r="H41" s="108"/>
      <c r="I41" s="108"/>
      <c r="J41" s="108"/>
      <c r="K41" s="108"/>
      <c r="L41" s="15"/>
      <c r="M41" s="231"/>
      <c r="N41" s="111"/>
    </row>
    <row r="42" spans="1:14" s="193" customFormat="1" ht="15" customHeight="1">
      <c r="A42" s="192"/>
      <c r="B42" s="203" t="s">
        <v>91</v>
      </c>
      <c r="C42" s="204"/>
      <c r="D42" s="205"/>
      <c r="E42" s="206">
        <f>E17+E27</f>
        <v>3.638723015785833</v>
      </c>
      <c r="F42" s="207"/>
      <c r="G42" s="208"/>
      <c r="H42" s="206">
        <f>H17+H27</f>
        <v>5.140679529924999</v>
      </c>
      <c r="I42" s="207"/>
      <c r="J42" s="208"/>
      <c r="K42" s="206">
        <f>K17+K27</f>
        <v>7.1583213760761915</v>
      </c>
      <c r="L42" s="209">
        <f>(E42*$E$7)+(H42*$H$7)+(K42*$K$7)</f>
        <v>5.053435024178431</v>
      </c>
      <c r="M42" s="233">
        <f>L42/$L$51</f>
        <v>0.8704808522997032</v>
      </c>
      <c r="N42" s="192"/>
    </row>
    <row r="43" spans="2:14" s="110" customFormat="1" ht="9.75" customHeight="1">
      <c r="B43" s="15"/>
      <c r="C43" s="108"/>
      <c r="D43" s="108"/>
      <c r="E43" s="108"/>
      <c r="F43" s="108"/>
      <c r="G43" s="108"/>
      <c r="H43" s="108"/>
      <c r="I43" s="108"/>
      <c r="J43" s="108"/>
      <c r="K43" s="108"/>
      <c r="L43" s="15"/>
      <c r="M43" s="231"/>
      <c r="N43" s="111"/>
    </row>
    <row r="44" spans="1:14" s="193" customFormat="1" ht="15" customHeight="1">
      <c r="A44" s="192"/>
      <c r="B44" s="198" t="s">
        <v>92</v>
      </c>
      <c r="C44" s="194"/>
      <c r="D44" s="195"/>
      <c r="E44" s="196">
        <f>E45+E46+E47+E48+E49</f>
        <v>0.7635514025016291</v>
      </c>
      <c r="F44" s="199"/>
      <c r="G44" s="200"/>
      <c r="H44" s="197">
        <f>H45+H46+H47+H48+H49</f>
        <v>0.6321434772550105</v>
      </c>
      <c r="I44" s="201"/>
      <c r="J44" s="200"/>
      <c r="K44" s="196">
        <f>K45+K46+K47+K48+K49</f>
        <v>1.8766133314033437</v>
      </c>
      <c r="L44" s="202">
        <f>L45+L46+L47+L48+L49</f>
        <v>0.7519023486401415</v>
      </c>
      <c r="M44" s="232">
        <f aca="true" t="shared" si="4" ref="M44:M49">L44/$L$51</f>
        <v>0.12951914770029677</v>
      </c>
      <c r="N44" s="192"/>
    </row>
    <row r="45" spans="2:14" ht="15" customHeight="1">
      <c r="B45" s="120" t="s">
        <v>86</v>
      </c>
      <c r="C45" s="118">
        <f>1/120</f>
        <v>0.008333333333333333</v>
      </c>
      <c r="D45" s="164">
        <f>'Informações da Frota e Custos'!H4</f>
        <v>299453.5</v>
      </c>
      <c r="E45" s="191">
        <f>C45*D45*0.9/C11</f>
        <v>0.42730848268407895</v>
      </c>
      <c r="F45" s="118">
        <f>1/120</f>
        <v>0.008333333333333333</v>
      </c>
      <c r="G45" s="162">
        <f>'Informações da Frota e Custos'!H5</f>
        <v>331453.5</v>
      </c>
      <c r="H45" s="191">
        <f>F45*G45*0.9/F11</f>
        <v>0.39007276887871856</v>
      </c>
      <c r="I45" s="118">
        <f>1/120</f>
        <v>0.008333333333333333</v>
      </c>
      <c r="J45" s="162">
        <f>'Informações da Frota e Custos'!H6</f>
        <v>814951.5</v>
      </c>
      <c r="K45" s="191">
        <f>I45*J45*0.9/I11</f>
        <v>1.179635955706738</v>
      </c>
      <c r="L45" s="142">
        <f>(E45*$E$7)+(H45*$H$7)+(K45*$K$7)</f>
        <v>0.4584842554147343</v>
      </c>
      <c r="M45" s="228">
        <f t="shared" si="4"/>
        <v>0.0789763326351064</v>
      </c>
      <c r="N45" s="107"/>
    </row>
    <row r="46" spans="2:14" ht="15" customHeight="1">
      <c r="B46" s="121" t="s">
        <v>85</v>
      </c>
      <c r="C46" s="117">
        <v>0.0001</v>
      </c>
      <c r="D46" s="46">
        <f>'Informações da Frota e Custos'!F5</f>
        <v>337500</v>
      </c>
      <c r="E46" s="313">
        <f>C46*D46/$C$11</f>
        <v>0.006421324753520515</v>
      </c>
      <c r="F46" s="117">
        <v>0.0001</v>
      </c>
      <c r="G46" s="46">
        <f>D46</f>
        <v>337500</v>
      </c>
      <c r="H46" s="313">
        <f>F46*G46/$F$11</f>
        <v>0.005295848316443282</v>
      </c>
      <c r="I46" s="117">
        <v>0.0001</v>
      </c>
      <c r="J46" s="46">
        <f>G46</f>
        <v>337500</v>
      </c>
      <c r="K46" s="313">
        <f>I46*J46/$I$11</f>
        <v>0.006513714988781935</v>
      </c>
      <c r="L46" s="189">
        <f>(E46*$E$7)+(H46*$H$7)+(K46*$K$7)</f>
        <v>0.005576620391007481</v>
      </c>
      <c r="M46" s="229">
        <f t="shared" si="4"/>
        <v>0.0009606022928345253</v>
      </c>
      <c r="N46" s="111"/>
    </row>
    <row r="47" spans="2:14" ht="15" customHeight="1">
      <c r="B47" s="121" t="s">
        <v>87</v>
      </c>
      <c r="C47" s="117">
        <f>((10-'Informações da Frota e Custos'!E25)/10)*0.01</f>
        <v>0.005</v>
      </c>
      <c r="D47" s="164">
        <f>D45</f>
        <v>299453.5</v>
      </c>
      <c r="E47" s="169">
        <f>C47*D47/C11</f>
        <v>0.284872321789386</v>
      </c>
      <c r="F47" s="116">
        <f>((10-'Informações da Frota e Custos'!D25)/10)*0.01</f>
        <v>0.0038397435897435895</v>
      </c>
      <c r="G47" s="162">
        <f>G45</f>
        <v>331453.5</v>
      </c>
      <c r="H47" s="169">
        <f>F47*G47/F11</f>
        <v>0.19970392184474564</v>
      </c>
      <c r="I47" s="117">
        <f>((10-'Informações da Frota e Custos'!F25)/10)*0.01</f>
        <v>0.0040999999999999995</v>
      </c>
      <c r="J47" s="162">
        <f>J45</f>
        <v>814951.5</v>
      </c>
      <c r="K47" s="169">
        <f>I47*J47/I11</f>
        <v>0.6448676557863501</v>
      </c>
      <c r="L47" s="189">
        <f>(E47*$E$7)+(H47*$H$7)+(K47*$K$7)</f>
        <v>0.2488051300973473</v>
      </c>
      <c r="M47" s="229">
        <f t="shared" si="4"/>
        <v>0.04285799672251415</v>
      </c>
      <c r="N47" s="107"/>
    </row>
    <row r="48" spans="2:14" ht="15" customHeight="1">
      <c r="B48" s="121" t="s">
        <v>88</v>
      </c>
      <c r="C48" s="117">
        <v>0.0004</v>
      </c>
      <c r="D48" s="46">
        <f>'Informações da Frota e Custos'!F5</f>
        <v>337500</v>
      </c>
      <c r="E48" s="169">
        <f>C48*D48/$C$11</f>
        <v>0.02568529901408206</v>
      </c>
      <c r="F48" s="117">
        <v>0.0004</v>
      </c>
      <c r="G48" s="46">
        <f>D48</f>
        <v>337500</v>
      </c>
      <c r="H48" s="169">
        <f>F48*G48/$F$11</f>
        <v>0.021183393265773127</v>
      </c>
      <c r="I48" s="117">
        <v>0.0004</v>
      </c>
      <c r="J48" s="46">
        <f>G48</f>
        <v>337500</v>
      </c>
      <c r="K48" s="169">
        <f>I48*J48/$I$11</f>
        <v>0.02605485995512774</v>
      </c>
      <c r="L48" s="189">
        <f>(E48*$E$7)+(H48*$H$7)+(K48*$K$7)</f>
        <v>0.022306481564029923</v>
      </c>
      <c r="M48" s="229">
        <f t="shared" si="4"/>
        <v>0.003842409171338101</v>
      </c>
      <c r="N48" s="111"/>
    </row>
    <row r="49" spans="2:14" ht="15" customHeight="1">
      <c r="B49" s="130" t="s">
        <v>89</v>
      </c>
      <c r="C49" s="117">
        <v>0.0003</v>
      </c>
      <c r="D49" s="305">
        <f>'Informações da Frota e Custos'!F5</f>
        <v>337500</v>
      </c>
      <c r="E49" s="314">
        <f>C49*D49/$C$11</f>
        <v>0.01926397426056154</v>
      </c>
      <c r="F49" s="117">
        <v>0.0003</v>
      </c>
      <c r="G49" s="305">
        <f>D49</f>
        <v>337500</v>
      </c>
      <c r="H49" s="314">
        <f>F49*G49/$F$11</f>
        <v>0.015887544949329844</v>
      </c>
      <c r="I49" s="117">
        <v>0.0003</v>
      </c>
      <c r="J49" s="305">
        <f>G49</f>
        <v>337500</v>
      </c>
      <c r="K49" s="314">
        <f>I49*J49/$I$11</f>
        <v>0.019541144966345802</v>
      </c>
      <c r="L49" s="189">
        <f>(E49*$E$7)+(H49*$H$7)+(K49*$K$7)</f>
        <v>0.016729861173022442</v>
      </c>
      <c r="M49" s="230">
        <f t="shared" si="4"/>
        <v>0.002881806878503576</v>
      </c>
      <c r="N49" s="111"/>
    </row>
    <row r="50" spans="2:14" s="110" customFormat="1" ht="9.75" customHeight="1">
      <c r="B50" s="15"/>
      <c r="C50" s="108"/>
      <c r="D50" s="108"/>
      <c r="E50" s="108"/>
      <c r="F50" s="108"/>
      <c r="G50" s="108"/>
      <c r="H50" s="108"/>
      <c r="I50" s="108"/>
      <c r="J50" s="108"/>
      <c r="K50" s="108"/>
      <c r="L50" s="15"/>
      <c r="M50" s="231"/>
      <c r="N50" s="111"/>
    </row>
    <row r="51" spans="1:16" s="193" customFormat="1" ht="15" customHeight="1">
      <c r="A51" s="192"/>
      <c r="B51" s="203" t="s">
        <v>90</v>
      </c>
      <c r="C51" s="204"/>
      <c r="D51" s="205"/>
      <c r="E51" s="206">
        <f>E42+E44</f>
        <v>4.402274418287462</v>
      </c>
      <c r="F51" s="207"/>
      <c r="G51" s="208"/>
      <c r="H51" s="206">
        <f>H42+H44</f>
        <v>5.77282300718001</v>
      </c>
      <c r="I51" s="207"/>
      <c r="J51" s="208"/>
      <c r="K51" s="206">
        <f>K42+K44</f>
        <v>9.034934707479536</v>
      </c>
      <c r="L51" s="209">
        <f>(E51*$E$7)+(H51*$H$7)+(K51*$K$7)</f>
        <v>5.805337372818573</v>
      </c>
      <c r="M51" s="233">
        <f>L51/L51</f>
        <v>1</v>
      </c>
      <c r="N51" s="192"/>
      <c r="O51" s="193">
        <f>H51-E51</f>
        <v>1.3705485888925484</v>
      </c>
      <c r="P51" s="331">
        <f>O51/E51</f>
        <v>0.3113273864071628</v>
      </c>
    </row>
    <row r="52" spans="2:14" s="110" customFormat="1" ht="9.75" customHeight="1">
      <c r="B52" s="15"/>
      <c r="C52" s="108"/>
      <c r="D52" s="108"/>
      <c r="E52" s="108"/>
      <c r="F52" s="108"/>
      <c r="G52" s="108"/>
      <c r="H52" s="108"/>
      <c r="I52" s="108"/>
      <c r="J52" s="108"/>
      <c r="K52" s="108"/>
      <c r="L52" s="210"/>
      <c r="M52" s="234"/>
      <c r="N52" s="111"/>
    </row>
    <row r="53" spans="2:14" ht="15" customHeight="1">
      <c r="B53" s="218" t="s">
        <v>93</v>
      </c>
      <c r="C53" s="528"/>
      <c r="D53" s="529"/>
      <c r="E53" s="529"/>
      <c r="F53" s="529"/>
      <c r="G53" s="529"/>
      <c r="H53" s="529"/>
      <c r="I53" s="529"/>
      <c r="J53" s="529"/>
      <c r="K53" s="530"/>
      <c r="L53" s="219">
        <f>(L51/0.95)-L51</f>
        <v>0.3055440722536096</v>
      </c>
      <c r="M53" s="235">
        <f>L53/$L$51</f>
        <v>0.0526315789473685</v>
      </c>
      <c r="N53" s="107"/>
    </row>
    <row r="54" spans="2:14" ht="15" customHeight="1">
      <c r="B54" s="220" t="s">
        <v>9</v>
      </c>
      <c r="C54" s="221" t="s">
        <v>108</v>
      </c>
      <c r="D54" s="246">
        <v>0</v>
      </c>
      <c r="E54" s="223"/>
      <c r="F54" s="224" t="s">
        <v>68</v>
      </c>
      <c r="G54" s="222">
        <v>0.02</v>
      </c>
      <c r="H54" s="223"/>
      <c r="I54" s="221" t="s">
        <v>67</v>
      </c>
      <c r="J54" s="246">
        <v>0.02</v>
      </c>
      <c r="K54" s="223"/>
      <c r="L54" s="225">
        <f>L56-L53-L51</f>
        <v>0.25462006021134087</v>
      </c>
      <c r="M54" s="236">
        <f>L54/$L$51</f>
        <v>0.04385964912280701</v>
      </c>
      <c r="N54" s="107"/>
    </row>
    <row r="55" spans="2:14" ht="9.75" customHeight="1">
      <c r="B55" s="211"/>
      <c r="C55" s="212"/>
      <c r="D55" s="213"/>
      <c r="E55" s="213"/>
      <c r="F55" s="213"/>
      <c r="G55" s="213"/>
      <c r="H55" s="213"/>
      <c r="I55" s="213"/>
      <c r="J55" s="213"/>
      <c r="K55" s="213"/>
      <c r="L55" s="214"/>
      <c r="M55" s="215"/>
      <c r="N55" s="107"/>
    </row>
    <row r="56" spans="1:14" s="193" customFormat="1" ht="15" customHeight="1">
      <c r="A56" s="192"/>
      <c r="B56" s="216" t="s">
        <v>109</v>
      </c>
      <c r="C56" s="520"/>
      <c r="D56" s="521"/>
      <c r="E56" s="521"/>
      <c r="F56" s="521"/>
      <c r="G56" s="521"/>
      <c r="H56" s="521"/>
      <c r="I56" s="521"/>
      <c r="J56" s="521"/>
      <c r="K56" s="522"/>
      <c r="L56" s="523">
        <f>(L51+L53)/(1-D54-G54-J54)</f>
        <v>6.3655015052835235</v>
      </c>
      <c r="M56" s="524"/>
      <c r="N56" s="289"/>
    </row>
    <row r="57" spans="1:14" s="193" customFormat="1" ht="15" customHeight="1">
      <c r="A57" s="192"/>
      <c r="B57" s="217" t="s">
        <v>69</v>
      </c>
      <c r="C57" s="515"/>
      <c r="D57" s="516"/>
      <c r="E57" s="516"/>
      <c r="F57" s="516"/>
      <c r="G57" s="516"/>
      <c r="H57" s="516"/>
      <c r="I57" s="516"/>
      <c r="J57" s="516"/>
      <c r="K57" s="517"/>
      <c r="L57" s="518">
        <f>L12/L7</f>
        <v>1.5935035560988595</v>
      </c>
      <c r="M57" s="519"/>
      <c r="N57" s="289"/>
    </row>
    <row r="58" spans="2:14" s="110" customFormat="1" ht="9.75" customHeight="1" thickBot="1">
      <c r="B58" s="15"/>
      <c r="C58" s="108"/>
      <c r="D58" s="108"/>
      <c r="E58" s="108"/>
      <c r="F58" s="108"/>
      <c r="G58" s="108"/>
      <c r="H58" s="108"/>
      <c r="I58" s="108"/>
      <c r="J58" s="108"/>
      <c r="K58" s="108"/>
      <c r="L58" s="15"/>
      <c r="M58" s="15"/>
      <c r="N58" s="111"/>
    </row>
    <row r="59" spans="2:14" ht="19.5" customHeight="1" thickBot="1">
      <c r="B59" s="124" t="s">
        <v>94</v>
      </c>
      <c r="C59" s="503"/>
      <c r="D59" s="503"/>
      <c r="E59" s="503"/>
      <c r="F59" s="503"/>
      <c r="G59" s="503"/>
      <c r="H59" s="503"/>
      <c r="I59" s="503"/>
      <c r="J59" s="503"/>
      <c r="K59" s="503"/>
      <c r="L59" s="513">
        <f>L56/L57</f>
        <v>3.9946578599844766</v>
      </c>
      <c r="M59" s="514"/>
      <c r="N59" s="107"/>
    </row>
    <row r="60" ht="11.25">
      <c r="N60" s="290"/>
    </row>
    <row r="61" spans="9:14" ht="11.25">
      <c r="I61" s="549"/>
      <c r="J61" s="549"/>
      <c r="K61" s="549"/>
      <c r="L61" s="549"/>
      <c r="M61" s="549"/>
      <c r="N61" s="361"/>
    </row>
  </sheetData>
  <sheetProtection/>
  <mergeCells count="48">
    <mergeCell ref="I61:M61"/>
    <mergeCell ref="C4:E4"/>
    <mergeCell ref="F4:H4"/>
    <mergeCell ref="I4:K4"/>
    <mergeCell ref="I11:K11"/>
    <mergeCell ref="I10:K10"/>
    <mergeCell ref="C5:E5"/>
    <mergeCell ref="C6:E6"/>
    <mergeCell ref="F5:H5"/>
    <mergeCell ref="F6:H6"/>
    <mergeCell ref="I7:J7"/>
    <mergeCell ref="B2:M2"/>
    <mergeCell ref="B12:K12"/>
    <mergeCell ref="C10:E10"/>
    <mergeCell ref="C11:E11"/>
    <mergeCell ref="F10:H10"/>
    <mergeCell ref="I5:K5"/>
    <mergeCell ref="L5:M5"/>
    <mergeCell ref="L6:M6"/>
    <mergeCell ref="L4:M4"/>
    <mergeCell ref="I6:K6"/>
    <mergeCell ref="C7:D7"/>
    <mergeCell ref="F7:G7"/>
    <mergeCell ref="L7:M7"/>
    <mergeCell ref="L10:M10"/>
    <mergeCell ref="L11:M11"/>
    <mergeCell ref="F11:H11"/>
    <mergeCell ref="I9:J9"/>
    <mergeCell ref="F9:G9"/>
    <mergeCell ref="C8:D8"/>
    <mergeCell ref="C9:D9"/>
    <mergeCell ref="C56:K56"/>
    <mergeCell ref="L56:M56"/>
    <mergeCell ref="B14:B15"/>
    <mergeCell ref="L14:M14"/>
    <mergeCell ref="C53:K53"/>
    <mergeCell ref="C14:E14"/>
    <mergeCell ref="F14:H14"/>
    <mergeCell ref="C59:K59"/>
    <mergeCell ref="F8:G8"/>
    <mergeCell ref="L12:M12"/>
    <mergeCell ref="I8:J8"/>
    <mergeCell ref="I14:K14"/>
    <mergeCell ref="L8:M8"/>
    <mergeCell ref="L9:M9"/>
    <mergeCell ref="L59:M59"/>
    <mergeCell ref="C57:K57"/>
    <mergeCell ref="L57:M57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75" r:id="rId3"/>
  <headerFooter alignWithMargins="0">
    <oddHeader>&amp;C&amp;A</oddHeader>
    <oddFooter>&amp;CPágina &amp;P de &amp;N</oddFooter>
  </headerFooter>
  <ignoredErrors>
    <ignoredError sqref="H21 K47 E47 H4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44" sqref="O44"/>
    </sheetView>
  </sheetViews>
  <sheetFormatPr defaultColWidth="9.00390625" defaultRowHeight="12.75"/>
  <cols>
    <col min="1" max="1" width="29.625" style="0" customWidth="1"/>
    <col min="2" max="2" width="12.50390625" style="0" customWidth="1"/>
    <col min="3" max="3" width="8.875" style="0" customWidth="1"/>
    <col min="4" max="4" width="9.50390625" style="296" customWidth="1"/>
    <col min="5" max="5" width="15.625" style="0" customWidth="1"/>
    <col min="6" max="6" width="19.75390625" style="0" customWidth="1"/>
  </cols>
  <sheetData>
    <row r="1" spans="1:6" ht="12.75">
      <c r="A1" s="111"/>
      <c r="B1" s="272"/>
      <c r="C1" s="110"/>
      <c r="D1" s="292"/>
      <c r="E1" s="110"/>
      <c r="F1" s="110"/>
    </row>
    <row r="2" spans="1:6" ht="15.75">
      <c r="A2" s="274"/>
      <c r="B2" s="273" t="s">
        <v>140</v>
      </c>
      <c r="C2" s="261" t="s">
        <v>141</v>
      </c>
      <c r="D2" s="293" t="s">
        <v>137</v>
      </c>
      <c r="E2" s="269" t="s">
        <v>138</v>
      </c>
      <c r="F2" s="269" t="s">
        <v>139</v>
      </c>
    </row>
    <row r="3" spans="1:6" ht="15.75">
      <c r="A3" s="203" t="s">
        <v>83</v>
      </c>
      <c r="B3" s="273"/>
      <c r="C3" s="261"/>
      <c r="D3" s="273"/>
      <c r="E3" s="273"/>
      <c r="F3" s="273"/>
    </row>
    <row r="4" spans="1:6" ht="15.75">
      <c r="A4" s="275" t="s">
        <v>135</v>
      </c>
      <c r="B4" s="276">
        <f>'Cálculo da Tarifa'!L18</f>
        <v>0.5537794973153335</v>
      </c>
      <c r="C4" s="277">
        <f>B4/$B$45</f>
        <v>0.08699699416545309</v>
      </c>
      <c r="D4" s="294">
        <f>C4*'Cálculo da Tarifa'!$L$59</f>
        <v>0.34752322653805084</v>
      </c>
      <c r="E4" s="278">
        <f>D4*'Cálculo da Tarifa'!$L$12</f>
        <v>727276.0756681982</v>
      </c>
      <c r="F4" s="278">
        <f>E4*'Cálculo da Tarifa'!$T$14</f>
        <v>8727312.908018379</v>
      </c>
    </row>
    <row r="5" spans="1:6" ht="15.75">
      <c r="A5" s="275" t="s">
        <v>136</v>
      </c>
      <c r="B5" s="276">
        <f>'Cálculo da Tarifa'!L19</f>
        <v>0.42805286942691345</v>
      </c>
      <c r="C5" s="277">
        <f>B5/$B$45</f>
        <v>0.06724574160757311</v>
      </c>
      <c r="D5" s="294">
        <f>C5*'Cálculo da Tarifa'!$L$59</f>
        <v>0.2686237302631771</v>
      </c>
      <c r="E5" s="278">
        <f>D5*'Cálculo da Tarifa'!$L$12</f>
        <v>562159.8715093806</v>
      </c>
      <c r="F5" s="278">
        <f>E5*'Cálculo da Tarifa'!$T$14</f>
        <v>6745918.458112568</v>
      </c>
    </row>
    <row r="6" spans="1:6" ht="15.75">
      <c r="A6" s="275" t="s">
        <v>134</v>
      </c>
      <c r="B6" s="276">
        <f>'Cálculo da Tarifa'!L20</f>
        <v>0.009830361661710413</v>
      </c>
      <c r="C6" s="277">
        <f aca="true" t="shared" si="0" ref="C6:C11">B6/$B$45</f>
        <v>0.0015443184882685161</v>
      </c>
      <c r="D6" s="294">
        <f>C6*'Cálculo da Tarifa'!$L$59</f>
        <v>0.006169023987481172</v>
      </c>
      <c r="E6" s="278">
        <f>D6*'Cálculo da Tarifa'!$L$12</f>
        <v>12910.168914500004</v>
      </c>
      <c r="F6" s="278">
        <f>E6*'Cálculo da Tarifa'!$T$14</f>
        <v>154922.02697400004</v>
      </c>
    </row>
    <row r="7" spans="1:6" ht="15.75">
      <c r="A7" s="275" t="s">
        <v>0</v>
      </c>
      <c r="B7" s="276">
        <f>'Cálculo da Tarifa'!L21</f>
        <v>0.049583136420197876</v>
      </c>
      <c r="C7" s="277">
        <f t="shared" si="0"/>
        <v>0.007789352713064738</v>
      </c>
      <c r="D7" s="294">
        <f>C7*'Cálculo da Tarifa'!$L$59</f>
        <v>0.03111579903943546</v>
      </c>
      <c r="E7" s="278">
        <f>D7*'Cálculo da Tarifa'!$L$12</f>
        <v>65117.30580460396</v>
      </c>
      <c r="F7" s="278">
        <f>E7*'Cálculo da Tarifa'!$T$14</f>
        <v>781407.6696552475</v>
      </c>
    </row>
    <row r="8" spans="1:6" ht="15.75">
      <c r="A8" s="279" t="s">
        <v>62</v>
      </c>
      <c r="B8" s="276">
        <f>'Cálculo da Tarifa'!L22</f>
        <v>0.05304182908562036</v>
      </c>
      <c r="C8" s="277">
        <f t="shared" si="0"/>
        <v>0.008332702308151892</v>
      </c>
      <c r="D8" s="294">
        <f>C8*'Cálculo da Tarifa'!$L$59</f>
        <v>0.03328629477016975</v>
      </c>
      <c r="E8" s="278">
        <f>D8*'Cálculo da Tarifa'!$L$12</f>
        <v>69659.59102976191</v>
      </c>
      <c r="F8" s="278">
        <f>E8*'Cálculo da Tarifa'!$T$14</f>
        <v>835915.092357143</v>
      </c>
    </row>
    <row r="9" spans="1:6" ht="15.75">
      <c r="A9" s="279" t="s">
        <v>63</v>
      </c>
      <c r="B9" s="276">
        <f>'Cálculo da Tarifa'!L23</f>
        <v>0.008377987952244632</v>
      </c>
      <c r="C9" s="277">
        <f t="shared" si="0"/>
        <v>0.0013161552071412907</v>
      </c>
      <c r="D9" s="294">
        <f>C9*'Cálculo da Tarifa'!$L$59</f>
        <v>0.005257589743166454</v>
      </c>
      <c r="E9" s="278">
        <f>D9*'Cálculo da Tarifa'!$L$12</f>
        <v>11002.77317857143</v>
      </c>
      <c r="F9" s="278">
        <f>E9*'Cálculo da Tarifa'!$T$14</f>
        <v>132033.27814285716</v>
      </c>
    </row>
    <row r="10" spans="1:6" ht="15.75">
      <c r="A10" s="279" t="s">
        <v>64</v>
      </c>
      <c r="B10" s="276">
        <f>'Cálculo da Tarifa'!L24</f>
        <v>0.05329184018773566</v>
      </c>
      <c r="C10" s="277">
        <f t="shared" si="0"/>
        <v>0.008371978255523485</v>
      </c>
      <c r="D10" s="294">
        <f>C10*'Cálculo da Tarifa'!$L$59</f>
        <v>0.033443188742046014</v>
      </c>
      <c r="E10" s="278">
        <f>D10*'Cálculo da Tarifa'!$L$12</f>
        <v>69987.92946428573</v>
      </c>
      <c r="F10" s="278">
        <f>E10*'Cálculo da Tarifa'!$T$14</f>
        <v>839855.1535714287</v>
      </c>
    </row>
    <row r="11" spans="1:6" ht="15.75">
      <c r="A11" s="279" t="s">
        <v>65</v>
      </c>
      <c r="B11" s="276">
        <f>'Cálculo da Tarifa'!L25</f>
        <v>0.007928221096665997</v>
      </c>
      <c r="C11" s="277">
        <f t="shared" si="0"/>
        <v>0.0012454982675104828</v>
      </c>
      <c r="D11" s="294">
        <f>C11*'Cálculo da Tarifa'!$L$59</f>
        <v>0.004975339443907798</v>
      </c>
      <c r="E11" s="278">
        <f>D11*'Cálculo da Tarifa'!$L$12</f>
        <v>10412.096428571429</v>
      </c>
      <c r="F11" s="278">
        <f>E11*'Cálculo da Tarifa'!$T$14</f>
        <v>124945.15714285715</v>
      </c>
    </row>
    <row r="12" spans="1:6" ht="15.75">
      <c r="A12" s="298" t="s">
        <v>142</v>
      </c>
      <c r="B12" s="299">
        <f>SUM(B4:B11)</f>
        <v>1.1638857431464216</v>
      </c>
      <c r="C12" s="300">
        <f>SUM(C4:C11)</f>
        <v>0.18284274101268663</v>
      </c>
      <c r="D12" s="301">
        <f>SUM(D4:D11)</f>
        <v>0.7303941925274346</v>
      </c>
      <c r="E12" s="302">
        <f>SUM(E4:E11)</f>
        <v>1528525.811997873</v>
      </c>
      <c r="F12" s="302">
        <f>SUM(F4:F11)</f>
        <v>18342309.74397448</v>
      </c>
    </row>
    <row r="13" spans="1:6" ht="15.75">
      <c r="A13" s="15"/>
      <c r="B13" s="273"/>
      <c r="C13" s="261"/>
      <c r="D13" s="295"/>
      <c r="E13" s="262"/>
      <c r="F13" s="263"/>
    </row>
    <row r="14" spans="1:6" ht="15.75">
      <c r="A14" s="203" t="s">
        <v>84</v>
      </c>
      <c r="B14" s="273" t="s">
        <v>118</v>
      </c>
      <c r="C14" s="261" t="s">
        <v>118</v>
      </c>
      <c r="D14" s="295" t="s">
        <v>118</v>
      </c>
      <c r="E14" s="262" t="s">
        <v>118</v>
      </c>
      <c r="F14" s="264"/>
    </row>
    <row r="15" spans="1:6" ht="15.75">
      <c r="A15" s="280" t="s">
        <v>3</v>
      </c>
      <c r="B15" s="281">
        <f>'Cálculo da Tarifa'!L28</f>
        <v>0.3495714251141134</v>
      </c>
      <c r="C15" s="282">
        <f aca="true" t="shared" si="1" ref="C15:C23">B15/$B$45</f>
        <v>0.054916556821793305</v>
      </c>
      <c r="D15" s="291">
        <f>C15*'Cálculo da Tarifa'!$L$59</f>
        <v>0.21937285535146075</v>
      </c>
      <c r="E15" s="283">
        <f>D15*'Cálculo da Tarifa'!$L$12</f>
        <v>459090.55040000007</v>
      </c>
      <c r="F15" s="283">
        <f>E15*'Cálculo da Tarifa'!$T$14</f>
        <v>5509086.604800001</v>
      </c>
    </row>
    <row r="16" spans="1:6" ht="15.75">
      <c r="A16" s="284" t="s">
        <v>4</v>
      </c>
      <c r="B16" s="281">
        <f>'Cálculo da Tarifa'!L29</f>
        <v>1.2356770901016436</v>
      </c>
      <c r="C16" s="282">
        <f t="shared" si="1"/>
        <v>0.19412093282453885</v>
      </c>
      <c r="D16" s="291">
        <f>C16*'Cálculo da Tarifa'!$L$59</f>
        <v>0.7754467100950627</v>
      </c>
      <c r="E16" s="283">
        <f>D16*'Cálculo da Tarifa'!$L$12</f>
        <v>1622809.0589104926</v>
      </c>
      <c r="F16" s="283">
        <f>E16*'Cálculo da Tarifa'!$T$14</f>
        <v>19473708.70692591</v>
      </c>
    </row>
    <row r="17" spans="1:6" ht="15.75">
      <c r="A17" s="284" t="s">
        <v>5</v>
      </c>
      <c r="B17" s="281">
        <f>'Cálculo da Tarifa'!L30</f>
        <v>0.6568633982115719</v>
      </c>
      <c r="C17" s="282">
        <f t="shared" si="1"/>
        <v>0.10319114647390455</v>
      </c>
      <c r="D17" s="291">
        <f>C17*'Cálculo da Tarifa'!$L$59</f>
        <v>0.41221332434279223</v>
      </c>
      <c r="E17" s="283">
        <f>D17*'Cálculo da Tarifa'!$L$12</f>
        <v>862655.690247349</v>
      </c>
      <c r="F17" s="283">
        <f>E17*'Cálculo da Tarifa'!$T$14</f>
        <v>10351868.282968188</v>
      </c>
    </row>
    <row r="18" spans="1:6" ht="15.75">
      <c r="A18" s="284" t="s">
        <v>66</v>
      </c>
      <c r="B18" s="281">
        <f>'Cálculo da Tarifa'!L31</f>
        <v>0.0778750648848555</v>
      </c>
      <c r="C18" s="282">
        <f t="shared" si="1"/>
        <v>0.012233924510145397</v>
      </c>
      <c r="D18" s="291">
        <f>C18*'Cálculo da Tarifa'!$L$59</f>
        <v>0.04887034270290905</v>
      </c>
      <c r="E18" s="283">
        <f>D18*'Cálculo da Tarifa'!$L$12</f>
        <v>102272.96578590003</v>
      </c>
      <c r="F18" s="283">
        <f>E18*'Cálculo da Tarifa'!$T$14</f>
        <v>1227275.5894308004</v>
      </c>
    </row>
    <row r="19" spans="1:6" ht="15.75">
      <c r="A19" s="280" t="s">
        <v>6</v>
      </c>
      <c r="B19" s="281">
        <f>'Cálculo da Tarifa'!L32</f>
        <v>0.26600609968173966</v>
      </c>
      <c r="C19" s="282">
        <f t="shared" si="1"/>
        <v>0.0417887105141595</v>
      </c>
      <c r="D19" s="291">
        <f>C19*'Cálculo da Tarifa'!$L$59</f>
        <v>0.1669316009140032</v>
      </c>
      <c r="E19" s="283">
        <f>D19*'Cálculo da Tarifa'!$L$12</f>
        <v>349344.59151740524</v>
      </c>
      <c r="F19" s="283">
        <f>E19*'Cálculo da Tarifa'!$T$14</f>
        <v>4192135.098208863</v>
      </c>
    </row>
    <row r="20" spans="1:6" ht="15.75">
      <c r="A20" s="280" t="s">
        <v>49</v>
      </c>
      <c r="B20" s="281">
        <f>'Cálculo da Tarifa'!L33</f>
        <v>0.585189442245494</v>
      </c>
      <c r="C20" s="282">
        <f t="shared" si="1"/>
        <v>0.0919313964123286</v>
      </c>
      <c r="D20" s="291">
        <f>C20*'Cálculo da Tarifa'!$L$59</f>
        <v>0.3672344752578572</v>
      </c>
      <c r="E20" s="283">
        <f>D20*'Cálculo da Tarifa'!$L$12</f>
        <v>768526.6123827304</v>
      </c>
      <c r="F20" s="283">
        <f>E20*'Cálculo da Tarifa'!$T$14</f>
        <v>9222319.348592764</v>
      </c>
    </row>
    <row r="21" spans="1:6" ht="15.75">
      <c r="A21" s="280" t="s">
        <v>7</v>
      </c>
      <c r="B21" s="281">
        <f>'Cálculo da Tarifa'!L34</f>
        <v>0.014087943487326164</v>
      </c>
      <c r="C21" s="282">
        <f t="shared" si="1"/>
        <v>0.0022131710244091257</v>
      </c>
      <c r="D21" s="291">
        <f>C21*'Cálculo da Tarifa'!$L$59</f>
        <v>0.00884086102814581</v>
      </c>
      <c r="E21" s="283">
        <f>D21*'Cálculo da Tarifa'!$L$12</f>
        <v>18501.631612164474</v>
      </c>
      <c r="F21" s="283">
        <f>E21*'Cálculo da Tarifa'!$T$14</f>
        <v>222019.57934597367</v>
      </c>
    </row>
    <row r="22" spans="1:6" ht="15.75">
      <c r="A22" s="280" t="s">
        <v>8</v>
      </c>
      <c r="B22" s="281">
        <f>'Cálculo da Tarifa'!L35</f>
        <v>0.16355421428727795</v>
      </c>
      <c r="C22" s="282">
        <f t="shared" si="1"/>
        <v>0.025693845826840814</v>
      </c>
      <c r="D22" s="291">
        <f>C22*'Cálculo da Tarifa'!$L$59</f>
        <v>0.102638123185419</v>
      </c>
      <c r="E22" s="283">
        <f>D22*'Cálculo da Tarifa'!$L$12</f>
        <v>214795</v>
      </c>
      <c r="F22" s="283">
        <f>E22*'Cálculo da Tarifa'!$T$14</f>
        <v>2577540</v>
      </c>
    </row>
    <row r="23" spans="1:6" ht="15.75">
      <c r="A23" s="280" t="s">
        <v>81</v>
      </c>
      <c r="B23" s="281">
        <f>'Cálculo da Tarifa'!L36</f>
        <v>0.034834187154514924</v>
      </c>
      <c r="C23" s="282">
        <f t="shared" si="1"/>
        <v>0.005472339787462416</v>
      </c>
      <c r="D23" s="291">
        <f>C23*'Cálculo da Tarifa'!$L$59</f>
        <v>0.02186012514449252</v>
      </c>
      <c r="E23" s="283">
        <f>D23*'Cálculo da Tarifa'!$L$12</f>
        <v>45747.578333333324</v>
      </c>
      <c r="F23" s="283">
        <f>E23*'Cálculo da Tarifa'!$T$14</f>
        <v>548970.94</v>
      </c>
    </row>
    <row r="24" spans="1:6" ht="15.75">
      <c r="A24" s="280" t="s">
        <v>82</v>
      </c>
      <c r="B24" s="281" t="s">
        <v>118</v>
      </c>
      <c r="C24" s="282" t="s">
        <v>118</v>
      </c>
      <c r="D24" s="291" t="s">
        <v>118</v>
      </c>
      <c r="E24" s="283" t="s">
        <v>118</v>
      </c>
      <c r="F24" s="283"/>
    </row>
    <row r="25" spans="1:6" ht="15.75">
      <c r="A25" s="285" t="s">
        <v>12</v>
      </c>
      <c r="B25" s="281">
        <f>'Cálculo da Tarifa'!L38</f>
        <v>0.20689363308579747</v>
      </c>
      <c r="C25" s="282">
        <f>B25/$B$45</f>
        <v>0.03250233039990182</v>
      </c>
      <c r="D25" s="291">
        <f>C25*'Cálculo da Tarifa'!$L$59</f>
        <v>0.1298356895997802</v>
      </c>
      <c r="E25" s="283">
        <f>D25*'Cálculo da Tarifa'!$L$12</f>
        <v>271712.4600690928</v>
      </c>
      <c r="F25" s="283">
        <f>E25*'Cálculo da Tarifa'!$T$14</f>
        <v>3260549.5208291137</v>
      </c>
    </row>
    <row r="26" spans="1:6" ht="15.75">
      <c r="A26" s="285" t="s">
        <v>10</v>
      </c>
      <c r="B26" s="281">
        <f>'Cálculo da Tarifa'!L39</f>
        <v>0.1840284729032469</v>
      </c>
      <c r="C26" s="282">
        <f>B26/$B$45</f>
        <v>0.02891028660514788</v>
      </c>
      <c r="D26" s="291">
        <f>C26*'Cálculo da Tarifa'!$L$59</f>
        <v>0.11548670362165792</v>
      </c>
      <c r="E26" s="283">
        <f>D26*'Cálculo da Tarifa'!$L$12</f>
        <v>241683.75000000006</v>
      </c>
      <c r="F26" s="283">
        <f>E26*'Cálculo da Tarifa'!$T$14</f>
        <v>2900205.000000001</v>
      </c>
    </row>
    <row r="27" spans="1:6" ht="15.75">
      <c r="A27" s="285" t="s">
        <v>11</v>
      </c>
      <c r="B27" s="281">
        <f>'Cálculo da Tarifa'!L40</f>
        <v>0.11496830987442849</v>
      </c>
      <c r="C27" s="282">
        <f>B27/$B$45</f>
        <v>0.01806115508401058</v>
      </c>
      <c r="D27" s="291">
        <f>C27*'Cálculo da Tarifa'!$L$59</f>
        <v>0.07214813511674145</v>
      </c>
      <c r="E27" s="283">
        <f>D27*'Cálculo da Tarifa'!$L$12</f>
        <v>150987.35442000005</v>
      </c>
      <c r="F27" s="283">
        <f>E27*'Cálculo da Tarifa'!$T$14</f>
        <v>1811848.2530400006</v>
      </c>
    </row>
    <row r="28" spans="1:6" ht="15.75">
      <c r="A28" s="298" t="s">
        <v>143</v>
      </c>
      <c r="B28" s="299">
        <f>SUM(B15:B27)</f>
        <v>3.88954928103201</v>
      </c>
      <c r="C28" s="300">
        <f>SUM(C15:C27)</f>
        <v>0.6110357962846429</v>
      </c>
      <c r="D28" s="301">
        <f>SUM(D15:D27)</f>
        <v>2.440878946360322</v>
      </c>
      <c r="E28" s="302">
        <f>SUM(E15:E27)</f>
        <v>5108127.243678467</v>
      </c>
      <c r="F28" s="302">
        <f>SUM(F15:F27)</f>
        <v>61297526.92414161</v>
      </c>
    </row>
    <row r="29" spans="1:6" ht="15.75">
      <c r="A29" s="15"/>
      <c r="B29" s="273"/>
      <c r="C29" s="261"/>
      <c r="D29" s="295"/>
      <c r="E29" s="262"/>
      <c r="F29" s="263"/>
    </row>
    <row r="30" spans="1:6" ht="15.75">
      <c r="A30" s="203" t="s">
        <v>91</v>
      </c>
      <c r="B30" s="273">
        <f>B28+B12</f>
        <v>5.053435024178431</v>
      </c>
      <c r="C30" s="261">
        <f>C28+C12</f>
        <v>0.7938785372973295</v>
      </c>
      <c r="D30" s="273">
        <f>D28+D12</f>
        <v>3.1712731388877566</v>
      </c>
      <c r="E30" s="304">
        <f>E28+E12</f>
        <v>6636653.05567634</v>
      </c>
      <c r="F30" s="304">
        <f>F28+F12</f>
        <v>79639836.6681161</v>
      </c>
    </row>
    <row r="31" spans="1:6" ht="15.75">
      <c r="A31" s="15"/>
      <c r="B31" s="273" t="s">
        <v>118</v>
      </c>
      <c r="C31" s="261" t="s">
        <v>118</v>
      </c>
      <c r="D31" s="295" t="s">
        <v>118</v>
      </c>
      <c r="E31" s="262"/>
      <c r="F31" s="263"/>
    </row>
    <row r="32" spans="1:6" ht="15.75">
      <c r="A32" s="203" t="s">
        <v>92</v>
      </c>
      <c r="B32" s="273" t="s">
        <v>118</v>
      </c>
      <c r="C32" s="261" t="s">
        <v>118</v>
      </c>
      <c r="D32" s="295" t="s">
        <v>118</v>
      </c>
      <c r="E32" s="262"/>
      <c r="F32" s="264"/>
    </row>
    <row r="33" spans="1:6" ht="15.75">
      <c r="A33" s="286" t="s">
        <v>86</v>
      </c>
      <c r="B33" s="276">
        <f>'Cálculo da Tarifa'!L45</f>
        <v>0.4584842554147343</v>
      </c>
      <c r="C33" s="277">
        <f>B33/$B$45</f>
        <v>0.07202641536321704</v>
      </c>
      <c r="D33" s="294">
        <f>C33*'Cálculo da Tarifa'!$L$59</f>
        <v>0.2877208862571816</v>
      </c>
      <c r="E33" s="278">
        <f>D33*'Cálculo da Tarifa'!$L$12</f>
        <v>602125.27125</v>
      </c>
      <c r="F33" s="278">
        <f>E33*'Cálculo da Tarifa'!$T$14</f>
        <v>7225503.255</v>
      </c>
    </row>
    <row r="34" spans="1:6" ht="15.75">
      <c r="A34" s="286" t="s">
        <v>85</v>
      </c>
      <c r="B34" s="276">
        <f>'Cálculo da Tarifa'!L46</f>
        <v>0.005576620391007481</v>
      </c>
      <c r="C34" s="277">
        <f>B34/$B$45</f>
        <v>0.0008760692910650871</v>
      </c>
      <c r="D34" s="294">
        <f>C34*'Cálculo da Tarifa'!$L$59</f>
        <v>0.0034995970794441784</v>
      </c>
      <c r="E34" s="278">
        <f>D34*'Cálculo da Tarifa'!$L$12</f>
        <v>7323.75</v>
      </c>
      <c r="F34" s="278">
        <f>E34*'Cálculo da Tarifa'!$T$14</f>
        <v>87885</v>
      </c>
    </row>
    <row r="35" spans="1:6" ht="15.75">
      <c r="A35" s="286" t="s">
        <v>87</v>
      </c>
      <c r="B35" s="276">
        <f>'Cálculo da Tarifa'!L47</f>
        <v>0.2488051300973473</v>
      </c>
      <c r="C35" s="277">
        <f>B35/$B$45</f>
        <v>0.03908649301093291</v>
      </c>
      <c r="D35" s="294">
        <f>C35*'Cálculo da Tarifa'!$L$59</f>
        <v>0.15613716652535145</v>
      </c>
      <c r="E35" s="278">
        <f>D35*'Cálculo da Tarifa'!$L$12</f>
        <v>326754.637</v>
      </c>
      <c r="F35" s="278">
        <f>E35*'Cálculo da Tarifa'!$T$14</f>
        <v>3921055.644</v>
      </c>
    </row>
    <row r="36" spans="1:6" ht="15.75">
      <c r="A36" s="286" t="s">
        <v>88</v>
      </c>
      <c r="B36" s="276">
        <f>'Cálculo da Tarifa'!L48</f>
        <v>0.022306481564029923</v>
      </c>
      <c r="C36" s="277">
        <f>B36/$B$45</f>
        <v>0.0035042771642603485</v>
      </c>
      <c r="D36" s="294">
        <f>C36*'Cálculo da Tarifa'!$L$59</f>
        <v>0.013998388317776713</v>
      </c>
      <c r="E36" s="278">
        <f>D36*'Cálculo da Tarifa'!$L$12</f>
        <v>29295</v>
      </c>
      <c r="F36" s="278">
        <f>E36*'Cálculo da Tarifa'!$T$14</f>
        <v>351540</v>
      </c>
    </row>
    <row r="37" spans="1:6" ht="15.75">
      <c r="A37" s="286" t="s">
        <v>89</v>
      </c>
      <c r="B37" s="276">
        <f>'Cálculo da Tarifa'!L49</f>
        <v>0.016729861173022442</v>
      </c>
      <c r="C37" s="277">
        <f>B37/$B$45</f>
        <v>0.0026282078731952613</v>
      </c>
      <c r="D37" s="294">
        <f>C37*'Cálculo da Tarifa'!$L$59</f>
        <v>0.010498791238332535</v>
      </c>
      <c r="E37" s="278">
        <f>D37*'Cálculo da Tarifa'!$L$12</f>
        <v>21971.249999999996</v>
      </c>
      <c r="F37" s="278">
        <f>E37*'Cálculo da Tarifa'!$T$14</f>
        <v>263654.99999999994</v>
      </c>
    </row>
    <row r="38" spans="1:6" ht="15.75">
      <c r="A38" s="298" t="s">
        <v>144</v>
      </c>
      <c r="B38" s="299">
        <f>SUM(B33:B37)</f>
        <v>0.7519023486401415</v>
      </c>
      <c r="C38" s="300">
        <f>SUM(C33:C37)</f>
        <v>0.11812146270267063</v>
      </c>
      <c r="D38" s="301">
        <f>SUM(D33:D37)</f>
        <v>0.4718548294180865</v>
      </c>
      <c r="E38" s="302">
        <f>SUM(E33:E37)</f>
        <v>987469.90825</v>
      </c>
      <c r="F38" s="302">
        <f>SUM(F33:F37)</f>
        <v>11849638.899</v>
      </c>
    </row>
    <row r="39" spans="1:6" ht="15.75">
      <c r="A39" s="15"/>
      <c r="B39" s="273"/>
      <c r="C39" s="261"/>
      <c r="D39" s="295"/>
      <c r="E39" s="262"/>
      <c r="F39" s="263"/>
    </row>
    <row r="40" spans="1:6" ht="15.75">
      <c r="A40" s="203" t="s">
        <v>90</v>
      </c>
      <c r="B40" s="273">
        <f>B30+B38</f>
        <v>5.805337372818572</v>
      </c>
      <c r="C40" s="261">
        <f>C38+C30</f>
        <v>0.9120000000000001</v>
      </c>
      <c r="D40" s="273">
        <f>D30+D38</f>
        <v>3.6431279683058433</v>
      </c>
      <c r="E40" s="304">
        <f>E30+E38</f>
        <v>7624122.96392634</v>
      </c>
      <c r="F40" s="304">
        <f>F30+F38</f>
        <v>91489475.5671161</v>
      </c>
    </row>
    <row r="41" spans="1:6" ht="15.75">
      <c r="A41" s="15"/>
      <c r="B41" s="273" t="s">
        <v>118</v>
      </c>
      <c r="C41" s="261" t="s">
        <v>118</v>
      </c>
      <c r="D41" s="295" t="s">
        <v>118</v>
      </c>
      <c r="E41" s="262"/>
      <c r="F41" s="263"/>
    </row>
    <row r="42" spans="1:6" ht="15.75">
      <c r="A42" s="287" t="s">
        <v>93</v>
      </c>
      <c r="B42" s="281">
        <f>'Cálculo da Tarifa'!L53</f>
        <v>0.3055440722536096</v>
      </c>
      <c r="C42" s="282">
        <f>B42/$B$45</f>
        <v>0.04800000000000008</v>
      </c>
      <c r="D42" s="291">
        <f>C42*'Cálculo da Tarifa'!$L$59</f>
        <v>0.1917435772792552</v>
      </c>
      <c r="E42" s="283">
        <f>D42*'Cálculo da Tarifa'!$L$12</f>
        <v>401269.62968033436</v>
      </c>
      <c r="F42" s="283">
        <f>E42*'Cálculo da Tarifa'!$T$14</f>
        <v>4815235.556164012</v>
      </c>
    </row>
    <row r="43" spans="1:6" ht="15.75">
      <c r="A43" s="288" t="s">
        <v>9</v>
      </c>
      <c r="B43" s="281">
        <f>'Cálculo da Tarifa'!L54</f>
        <v>0.25462006021134087</v>
      </c>
      <c r="C43" s="282">
        <f>B43/$B$45</f>
        <v>0.039999999999999994</v>
      </c>
      <c r="D43" s="291">
        <f>C43*'Cálculo da Tarifa'!$L$59</f>
        <v>0.15978631439937904</v>
      </c>
      <c r="E43" s="283">
        <f>D43*'Cálculo da Tarifa'!$L$12</f>
        <v>334391.3580669447</v>
      </c>
      <c r="F43" s="283">
        <f>E43*'Cálculo da Tarifa'!$T$14</f>
        <v>4012696.2968033366</v>
      </c>
    </row>
    <row r="44" spans="1:6" ht="15.75">
      <c r="A44" s="211"/>
      <c r="B44" s="273" t="s">
        <v>118</v>
      </c>
      <c r="C44" s="265"/>
      <c r="D44" s="295" t="s">
        <v>118</v>
      </c>
      <c r="E44" s="262"/>
      <c r="F44" s="266"/>
    </row>
    <row r="45" spans="1:6" ht="15.75">
      <c r="A45" s="107"/>
      <c r="B45" s="303">
        <f>B40+B42+B43</f>
        <v>6.365501505283523</v>
      </c>
      <c r="C45" s="267">
        <f>C40+C42+C43</f>
        <v>1.0000000000000002</v>
      </c>
      <c r="D45" s="295">
        <f>C45*'Cálculo da Tarifa'!$L$59</f>
        <v>3.9946578599844775</v>
      </c>
      <c r="E45" s="262">
        <f>D45*'Cálculo da Tarifa'!$L$12</f>
        <v>8359783.95167362</v>
      </c>
      <c r="F45" s="268">
        <f>F40+F42+F43</f>
        <v>100317407.42008345</v>
      </c>
    </row>
    <row r="46" spans="1:6" ht="12.75">
      <c r="A46" s="6"/>
      <c r="B46" s="259"/>
      <c r="C46" s="6"/>
      <c r="D46" s="259"/>
      <c r="E46" s="6"/>
      <c r="F46" s="6"/>
    </row>
    <row r="47" spans="1:6" ht="12.75">
      <c r="A47" s="6"/>
      <c r="B47" s="259"/>
      <c r="C47" s="6"/>
      <c r="D47" s="259"/>
      <c r="E47" s="6"/>
      <c r="F47" s="6"/>
    </row>
    <row r="48" spans="1:6" ht="12.75">
      <c r="A48" s="6"/>
      <c r="B48" s="259"/>
      <c r="C48" s="6"/>
      <c r="D48" s="259"/>
      <c r="E48" s="6"/>
      <c r="F48" s="6"/>
    </row>
    <row r="49" spans="1:6" ht="12.75">
      <c r="A49" s="6"/>
      <c r="B49" s="259"/>
      <c r="C49" s="6"/>
      <c r="D49" s="259"/>
      <c r="E49" s="6"/>
      <c r="F49" s="6"/>
    </row>
    <row r="50" ht="12">
      <c r="D50" s="332"/>
    </row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&amp;C&amp;A</oddHeader>
    <oddFooter>&amp;CPágina &amp;P de &amp;N</oddFooter>
  </headerFooter>
  <ignoredErrors>
    <ignoredError sqref="C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L25" sqref="L25"/>
    </sheetView>
  </sheetViews>
  <sheetFormatPr defaultColWidth="9.00390625" defaultRowHeight="12.75"/>
  <cols>
    <col min="2" max="2" width="13.875" style="0" customWidth="1"/>
    <col min="3" max="3" width="12.625" style="0" customWidth="1"/>
  </cols>
  <sheetData>
    <row r="2" spans="1:3" ht="12">
      <c r="A2" s="405" t="s">
        <v>51</v>
      </c>
      <c r="B2" s="409">
        <v>2017</v>
      </c>
      <c r="C2" s="409">
        <v>2016</v>
      </c>
    </row>
    <row r="3" spans="1:3" ht="12">
      <c r="A3" s="408" t="s">
        <v>158</v>
      </c>
      <c r="B3" s="306">
        <v>1870306</v>
      </c>
      <c r="C3" s="306">
        <v>1947747.5</v>
      </c>
    </row>
    <row r="4" spans="1:3" ht="12">
      <c r="A4" s="408" t="s">
        <v>159</v>
      </c>
      <c r="B4" s="306">
        <v>1945814</v>
      </c>
      <c r="C4" s="306">
        <v>2022990.5</v>
      </c>
    </row>
    <row r="5" spans="1:3" ht="12">
      <c r="A5" s="408" t="s">
        <v>160</v>
      </c>
      <c r="B5" s="307">
        <v>2367555</v>
      </c>
      <c r="C5" s="307">
        <v>2423409</v>
      </c>
    </row>
    <row r="6" spans="1:3" ht="12">
      <c r="A6" s="408" t="s">
        <v>161</v>
      </c>
      <c r="B6" s="307">
        <v>2033261</v>
      </c>
      <c r="C6" s="307">
        <v>2284127</v>
      </c>
    </row>
    <row r="7" spans="1:3" ht="12">
      <c r="A7" s="408" t="s">
        <v>162</v>
      </c>
      <c r="B7" s="416">
        <v>2263712</v>
      </c>
      <c r="C7" s="416">
        <v>2243149</v>
      </c>
    </row>
    <row r="8" spans="1:3" ht="12">
      <c r="A8" s="408" t="s">
        <v>163</v>
      </c>
      <c r="B8" s="307">
        <v>2128695</v>
      </c>
      <c r="C8" s="307">
        <v>2263312</v>
      </c>
    </row>
    <row r="9" spans="1:3" ht="12">
      <c r="A9" s="408" t="s">
        <v>164</v>
      </c>
      <c r="B9" s="307">
        <v>1982276</v>
      </c>
      <c r="C9" s="308">
        <v>2057487</v>
      </c>
    </row>
    <row r="10" spans="1:3" ht="12">
      <c r="A10" s="408" t="s">
        <v>165</v>
      </c>
      <c r="B10" s="308">
        <v>2253979</v>
      </c>
      <c r="C10" s="308">
        <v>2301161.5</v>
      </c>
    </row>
    <row r="11" spans="1:3" ht="12">
      <c r="A11" s="408" t="s">
        <v>166</v>
      </c>
      <c r="B11" s="307">
        <v>2077894</v>
      </c>
      <c r="C11" s="307">
        <v>2194798</v>
      </c>
    </row>
    <row r="12" spans="1:3" ht="12">
      <c r="A12" s="408" t="s">
        <v>167</v>
      </c>
      <c r="B12" s="308">
        <v>2105052</v>
      </c>
      <c r="C12" s="308">
        <v>2164854</v>
      </c>
    </row>
    <row r="13" spans="1:3" ht="12">
      <c r="A13" s="408" t="s">
        <v>168</v>
      </c>
      <c r="B13" s="308">
        <v>2067547</v>
      </c>
      <c r="C13" s="308">
        <v>2189350</v>
      </c>
    </row>
    <row r="14" spans="1:3" ht="12.75" thickBot="1">
      <c r="A14" s="408" t="s">
        <v>169</v>
      </c>
      <c r="B14" s="413">
        <v>2016800</v>
      </c>
      <c r="C14" s="413">
        <v>2195478</v>
      </c>
    </row>
    <row r="15" spans="2:3" ht="12.75" thickBot="1">
      <c r="B15" s="414">
        <f>AVERAGE(B3:B12)</f>
        <v>2102854.4</v>
      </c>
      <c r="C15" s="415">
        <f>AVERAGE(C3:C14)</f>
        <v>2190655.2916666665</v>
      </c>
    </row>
    <row r="16" ht="12.75" thickBot="1"/>
    <row r="17" spans="1:3" ht="12.75" thickBot="1">
      <c r="A17" s="410" t="s">
        <v>172</v>
      </c>
      <c r="B17" s="411">
        <f>C15-B15</f>
        <v>87800.8916666666</v>
      </c>
      <c r="C17" s="412">
        <f>B17/C15</f>
        <v>0.040079738697669336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20.125" style="0" customWidth="1"/>
    <col min="2" max="2" width="8.875" style="0" customWidth="1"/>
    <col min="3" max="3" width="5.875" style="0" customWidth="1"/>
    <col min="4" max="4" width="11.875" style="0" customWidth="1"/>
    <col min="5" max="5" width="10.875" style="0" customWidth="1"/>
    <col min="6" max="7" width="11.875" style="0" customWidth="1"/>
    <col min="8" max="8" width="8.875" style="0" customWidth="1"/>
    <col min="9" max="9" width="5.875" style="0" customWidth="1"/>
    <col min="10" max="11" width="10.875" style="0" customWidth="1"/>
    <col min="12" max="12" width="11.875" style="0" bestFit="1" customWidth="1"/>
  </cols>
  <sheetData>
    <row r="2" spans="1:9" ht="12">
      <c r="A2" s="426" t="s">
        <v>181</v>
      </c>
      <c r="B2" s="426" t="s">
        <v>178</v>
      </c>
      <c r="C2" s="423"/>
      <c r="D2" s="423"/>
      <c r="E2" s="424"/>
      <c r="G2" s="426" t="s">
        <v>181</v>
      </c>
      <c r="H2" s="423"/>
      <c r="I2" s="428"/>
    </row>
    <row r="3" spans="1:9" ht="12">
      <c r="A3" s="426" t="s">
        <v>177</v>
      </c>
      <c r="B3" s="422" t="s">
        <v>127</v>
      </c>
      <c r="C3" s="427" t="s">
        <v>179</v>
      </c>
      <c r="D3" s="427" t="s">
        <v>180</v>
      </c>
      <c r="E3" s="428" t="s">
        <v>21</v>
      </c>
      <c r="G3" s="426" t="s">
        <v>177</v>
      </c>
      <c r="H3" s="426" t="s">
        <v>178</v>
      </c>
      <c r="I3" s="428" t="s">
        <v>182</v>
      </c>
    </row>
    <row r="4" spans="1:9" ht="12">
      <c r="A4" s="422" t="s">
        <v>26</v>
      </c>
      <c r="B4" s="431">
        <v>10</v>
      </c>
      <c r="C4" s="432">
        <v>10</v>
      </c>
      <c r="D4" s="432"/>
      <c r="E4" s="433">
        <v>20</v>
      </c>
      <c r="G4" s="422" t="s">
        <v>26</v>
      </c>
      <c r="H4" s="422" t="s">
        <v>127</v>
      </c>
      <c r="I4" s="433">
        <v>10</v>
      </c>
    </row>
    <row r="5" spans="1:9" ht="12">
      <c r="A5" s="429" t="s">
        <v>129</v>
      </c>
      <c r="B5" s="434">
        <v>68</v>
      </c>
      <c r="C5" s="435">
        <v>88</v>
      </c>
      <c r="D5" s="435"/>
      <c r="E5" s="436">
        <v>156</v>
      </c>
      <c r="G5" s="425"/>
      <c r="H5" s="429" t="s">
        <v>179</v>
      </c>
      <c r="I5" s="436">
        <v>10</v>
      </c>
    </row>
    <row r="6" spans="1:9" ht="12">
      <c r="A6" s="429" t="s">
        <v>130</v>
      </c>
      <c r="B6" s="434">
        <v>15</v>
      </c>
      <c r="C6" s="435">
        <v>26</v>
      </c>
      <c r="D6" s="435"/>
      <c r="E6" s="436">
        <v>41</v>
      </c>
      <c r="G6" s="422" t="s">
        <v>183</v>
      </c>
      <c r="H6" s="423"/>
      <c r="I6" s="433">
        <v>20</v>
      </c>
    </row>
    <row r="7" spans="1:9" ht="12">
      <c r="A7" s="429" t="s">
        <v>180</v>
      </c>
      <c r="B7" s="434"/>
      <c r="C7" s="435"/>
      <c r="D7" s="435"/>
      <c r="E7" s="436"/>
      <c r="G7" s="422" t="s">
        <v>129</v>
      </c>
      <c r="H7" s="422" t="s">
        <v>127</v>
      </c>
      <c r="I7" s="433">
        <v>68</v>
      </c>
    </row>
    <row r="8" spans="1:9" ht="12">
      <c r="A8" s="430" t="s">
        <v>21</v>
      </c>
      <c r="B8" s="437">
        <v>93</v>
      </c>
      <c r="C8" s="438">
        <v>124</v>
      </c>
      <c r="D8" s="438"/>
      <c r="E8" s="439">
        <v>217</v>
      </c>
      <c r="G8" s="425"/>
      <c r="H8" s="429" t="s">
        <v>179</v>
      </c>
      <c r="I8" s="436">
        <v>88</v>
      </c>
    </row>
    <row r="9" spans="7:9" ht="12">
      <c r="G9" s="422" t="s">
        <v>184</v>
      </c>
      <c r="H9" s="423"/>
      <c r="I9" s="433">
        <v>156</v>
      </c>
    </row>
    <row r="10" spans="7:9" ht="12">
      <c r="G10" s="422" t="s">
        <v>130</v>
      </c>
      <c r="H10" s="422" t="s">
        <v>127</v>
      </c>
      <c r="I10" s="433">
        <v>15</v>
      </c>
    </row>
    <row r="11" spans="7:9" ht="12">
      <c r="G11" s="425"/>
      <c r="H11" s="429" t="s">
        <v>179</v>
      </c>
      <c r="I11" s="436">
        <v>26</v>
      </c>
    </row>
    <row r="12" spans="7:9" ht="12">
      <c r="G12" s="422" t="s">
        <v>185</v>
      </c>
      <c r="H12" s="423"/>
      <c r="I12" s="433">
        <v>41</v>
      </c>
    </row>
    <row r="13" spans="7:9" ht="12">
      <c r="G13" s="422" t="s">
        <v>180</v>
      </c>
      <c r="H13" s="422" t="s">
        <v>180</v>
      </c>
      <c r="I13" s="433"/>
    </row>
    <row r="14" spans="1:9" ht="12">
      <c r="A14" s="426" t="s">
        <v>181</v>
      </c>
      <c r="B14" s="423"/>
      <c r="C14" s="428"/>
      <c r="G14" s="422" t="s">
        <v>186</v>
      </c>
      <c r="H14" s="423"/>
      <c r="I14" s="433"/>
    </row>
    <row r="15" spans="1:9" ht="12">
      <c r="A15" s="426" t="s">
        <v>177</v>
      </c>
      <c r="B15" s="426" t="s">
        <v>178</v>
      </c>
      <c r="C15" s="428" t="s">
        <v>182</v>
      </c>
      <c r="G15" s="430" t="s">
        <v>21</v>
      </c>
      <c r="H15" s="440"/>
      <c r="I15" s="439">
        <v>217</v>
      </c>
    </row>
    <row r="16" spans="1:3" ht="12">
      <c r="A16" s="422" t="s">
        <v>26</v>
      </c>
      <c r="B16" s="422" t="s">
        <v>127</v>
      </c>
      <c r="C16" s="433">
        <v>10</v>
      </c>
    </row>
    <row r="17" spans="1:3" ht="12">
      <c r="A17" s="425"/>
      <c r="B17" s="429" t="s">
        <v>179</v>
      </c>
      <c r="C17" s="436">
        <v>10</v>
      </c>
    </row>
    <row r="18" spans="1:3" ht="12">
      <c r="A18" s="422" t="s">
        <v>183</v>
      </c>
      <c r="B18" s="423"/>
      <c r="C18" s="433">
        <v>20</v>
      </c>
    </row>
    <row r="19" spans="1:3" ht="12">
      <c r="A19" s="422" t="s">
        <v>129</v>
      </c>
      <c r="B19" s="422" t="s">
        <v>127</v>
      </c>
      <c r="C19" s="433">
        <v>68</v>
      </c>
    </row>
    <row r="20" spans="1:3" ht="12">
      <c r="A20" s="425"/>
      <c r="B20" s="429" t="s">
        <v>179</v>
      </c>
      <c r="C20" s="436">
        <v>88</v>
      </c>
    </row>
    <row r="21" spans="1:3" ht="12">
      <c r="A21" s="422" t="s">
        <v>184</v>
      </c>
      <c r="B21" s="423"/>
      <c r="C21" s="433">
        <v>156</v>
      </c>
    </row>
    <row r="22" spans="1:3" ht="12">
      <c r="A22" s="422" t="s">
        <v>130</v>
      </c>
      <c r="B22" s="422" t="s">
        <v>127</v>
      </c>
      <c r="C22" s="433">
        <v>15</v>
      </c>
    </row>
    <row r="23" spans="1:3" ht="12">
      <c r="A23" s="425"/>
      <c r="B23" s="429" t="s">
        <v>179</v>
      </c>
      <c r="C23" s="436">
        <v>26</v>
      </c>
    </row>
    <row r="24" spans="1:3" ht="12">
      <c r="A24" s="422" t="s">
        <v>185</v>
      </c>
      <c r="B24" s="423"/>
      <c r="C24" s="433">
        <v>41</v>
      </c>
    </row>
    <row r="25" spans="1:3" ht="12">
      <c r="A25" s="422" t="s">
        <v>180</v>
      </c>
      <c r="B25" s="422" t="s">
        <v>180</v>
      </c>
      <c r="C25" s="433"/>
    </row>
    <row r="26" spans="1:3" ht="12">
      <c r="A26" s="422" t="s">
        <v>186</v>
      </c>
      <c r="B26" s="423"/>
      <c r="C26" s="433"/>
    </row>
    <row r="27" spans="1:3" ht="12">
      <c r="A27" s="430" t="s">
        <v>21</v>
      </c>
      <c r="B27" s="440"/>
      <c r="C27" s="439">
        <v>217</v>
      </c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DFV 1</cp:lastModifiedBy>
  <cp:lastPrinted>2018-02-02T15:54:00Z</cp:lastPrinted>
  <dcterms:created xsi:type="dcterms:W3CDTF">1999-04-07T20:57:43Z</dcterms:created>
  <dcterms:modified xsi:type="dcterms:W3CDTF">2018-03-22T21:52:22Z</dcterms:modified>
  <cp:category/>
  <cp:version/>
  <cp:contentType/>
  <cp:contentStatus/>
</cp:coreProperties>
</file>