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5" windowWidth="11415" windowHeight="7200" tabRatio="799" activeTab="2"/>
  </bookViews>
  <sheets>
    <sheet name="Km, Passageiros e Pessoal" sheetId="1" r:id="rId1"/>
    <sheet name="Informações da Frota e Custos" sheetId="2" r:id="rId2"/>
    <sheet name="Cálculo da Tarifa" sheetId="3" r:id="rId3"/>
    <sheet name="REMUNERAÇÃO" sheetId="4" r:id="rId4"/>
    <sheet name="Plan1" sheetId="5" r:id="rId5"/>
  </sheets>
  <definedNames>
    <definedName name="_xlfn.AVERAGEIF" hidden="1">#NAME?</definedName>
    <definedName name="_xlnm.Print_Area" localSheetId="2">'Cálculo da Tarifa'!$B$2:$M$59</definedName>
    <definedName name="_xlnm.Print_Area" localSheetId="1">'Informações da Frota e Custos'!$J$2:$Q$36</definedName>
    <definedName name="_xlnm.Print_Area" localSheetId="0">'Km, Passageiros e Pessoal'!$M$1:$S$48</definedName>
    <definedName name="_xlnm.Print_Area" localSheetId="3">'REMUNERAÇÃO'!$A$1:$F$45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N13" authorId="0">
      <text>
        <r>
          <rPr>
            <sz val="9"/>
            <rFont val="Calibri"/>
            <family val="2"/>
          </rPr>
          <t>1/11</t>
        </r>
      </text>
    </comment>
    <comment ref="Q13" authorId="0">
      <text>
        <r>
          <rPr>
            <sz val="9"/>
            <rFont val="Calibri"/>
            <family val="2"/>
          </rPr>
          <t>1/11</t>
        </r>
      </text>
    </comment>
    <comment ref="N15" authorId="0">
      <text>
        <r>
          <rPr>
            <sz val="9"/>
            <rFont val="Calibri"/>
            <family val="2"/>
          </rPr>
          <t>10% da tripulação estimada</t>
        </r>
      </text>
    </comment>
    <comment ref="Q15" authorId="0">
      <text>
        <r>
          <rPr>
            <sz val="9"/>
            <rFont val="Calibri"/>
            <family val="2"/>
          </rPr>
          <t>10% da tripulação estimada</t>
        </r>
      </text>
    </comment>
    <comment ref="N17" authorId="0">
      <text>
        <r>
          <rPr>
            <sz val="9"/>
            <rFont val="Calibri"/>
            <family val="2"/>
          </rPr>
          <t>5% da Tripulação Total</t>
        </r>
      </text>
    </comment>
    <comment ref="Q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18" authorId="0">
      <text>
        <r>
          <rPr>
            <b/>
            <sz val="9"/>
            <rFont val="Tahoma"/>
            <family val="2"/>
          </rPr>
          <t>0,3368 litros / km</t>
        </r>
      </text>
    </comment>
    <comment ref="D18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18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18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19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19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19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19" authorId="0">
      <text>
        <r>
          <rPr>
            <b/>
            <sz val="9"/>
            <rFont val="Tahoma"/>
            <family val="2"/>
          </rPr>
          <t>0,3065 litros / km</t>
        </r>
      </text>
    </comment>
    <comment ref="C20" authorId="0">
      <text>
        <r>
          <rPr>
            <b/>
            <sz val="9"/>
            <rFont val="Tahoma"/>
            <family val="2"/>
          </rPr>
          <t>0,0019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18" authorId="0">
      <text>
        <r>
          <rPr>
            <b/>
            <sz val="9"/>
            <rFont val="Tahoma"/>
            <family val="2"/>
          </rPr>
          <t>0,3982 litros / km</t>
        </r>
      </text>
    </comment>
    <comment ref="F19" authorId="0">
      <text>
        <r>
          <rPr>
            <b/>
            <sz val="9"/>
            <rFont val="Tahoma"/>
            <family val="2"/>
          </rPr>
          <t>0,3969 litros / km</t>
        </r>
      </text>
    </comment>
    <comment ref="F20" authorId="0">
      <text>
        <r>
          <rPr>
            <b/>
            <sz val="9"/>
            <rFont val="Tahoma"/>
            <family val="2"/>
          </rPr>
          <t>0,0068 litros / km</t>
        </r>
      </text>
    </comment>
    <comment ref="I18" authorId="0">
      <text>
        <r>
          <rPr>
            <b/>
            <sz val="9"/>
            <rFont val="Tahoma"/>
            <family val="2"/>
          </rPr>
          <t>0,7938 litros / km</t>
        </r>
      </text>
    </comment>
    <comment ref="I19" authorId="0">
      <text>
        <r>
          <rPr>
            <b/>
            <sz val="9"/>
            <rFont val="Tahoma"/>
            <family val="2"/>
          </rPr>
          <t>0,6718 litros / km</t>
        </r>
      </text>
    </comment>
    <comment ref="I20" authorId="0">
      <text>
        <r>
          <rPr>
            <b/>
            <sz val="9"/>
            <rFont val="Tahoma"/>
            <family val="2"/>
          </rPr>
          <t>0,0276 litros / km</t>
        </r>
      </text>
    </comment>
    <comment ref="C21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1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1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1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2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2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3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2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2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3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4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28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28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28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2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2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2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29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29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29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0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0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29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29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29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0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0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1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1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1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29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29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29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2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2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2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2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2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2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3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3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3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3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3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3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4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4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4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5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5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5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6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6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6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8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8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8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8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8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8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39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39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39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3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3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3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0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0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0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0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40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0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5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5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5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5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5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5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8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8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8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49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6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6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6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7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7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3" authorId="0">
      <text>
        <r>
          <rPr>
            <b/>
            <sz val="9"/>
            <rFont val="Tahoma"/>
            <family val="2"/>
          </rPr>
          <t>margem operador 5%</t>
        </r>
      </text>
    </comment>
    <comment ref="L57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2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1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1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</commentList>
</comments>
</file>

<file path=xl/sharedStrings.xml><?xml version="1.0" encoding="utf-8"?>
<sst xmlns="http://schemas.openxmlformats.org/spreadsheetml/2006/main" count="353" uniqueCount="162">
  <si>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</si>
  <si>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</si>
  <si>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</si>
  <si>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</si>
  <si>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</si>
  <si>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</si>
  <si>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</si>
  <si>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</si>
  <si>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</si>
  <si>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</si>
  <si>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</si>
  <si>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</si>
  <si>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</si>
  <si>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</si>
  <si>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</si>
  <si>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</si>
  <si>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</si>
  <si>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</si>
  <si>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</si>
  <si>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</si>
  <si>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</si>
  <si>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</si>
  <si>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</si>
  <si>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</si>
  <si>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</si>
  <si>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</si>
  <si>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</si>
  <si>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</si>
  <si>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</si>
  <si>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</si>
  <si>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</si>
  <si>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</si>
  <si>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</si>
  <si>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</si>
  <si>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KM PERCORRIDA/DIA</t>
  </si>
  <si>
    <t>KM PERCORRIDA NO PERÍODO</t>
  </si>
  <si>
    <t>TOTAL MÉDIO MENSAL</t>
  </si>
  <si>
    <t>Média mensal</t>
  </si>
  <si>
    <t>PASSAGEIROS EQUIVALENTES TRANSPORTADOS</t>
  </si>
  <si>
    <t>PREÇOS MÉDIOS (conforme modelo de chassi e carroceria)</t>
  </si>
  <si>
    <t>CHASSI</t>
  </si>
  <si>
    <t>CAROCERIA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</si>
  <si>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</si>
  <si>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</si>
  <si>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</si>
  <si>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</si>
  <si>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</si>
  <si>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</si>
  <si>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</si>
  <si>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</si>
  <si>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DOMINGOS E FERIADOS</t>
  </si>
  <si>
    <t>MÊS</t>
  </si>
  <si>
    <t>T0TAL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</si>
  <si>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</si>
  <si>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</si>
  <si>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</si>
  <si>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</si>
  <si>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</si>
  <si>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</si>
  <si>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</si>
  <si>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</si>
  <si>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</si>
  <si>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</si>
  <si>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</si>
  <si>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</si>
  <si>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</si>
  <si>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</si>
  <si>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</si>
  <si>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</si>
  <si>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</si>
  <si>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TOTAL</t>
  </si>
  <si>
    <t>FROTA OPERANTE</t>
  </si>
  <si>
    <t>KM MENSAL PROGRAMADA</t>
  </si>
  <si>
    <t>PMM FROTA OPERANTE</t>
  </si>
  <si>
    <t>PMM FROTA TOTAL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</si>
  <si>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</si>
  <si>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</si>
  <si>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</si>
  <si>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</si>
  <si>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</si>
  <si>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</si>
  <si>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</si>
  <si>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</si>
  <si>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</si>
  <si>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</si>
  <si>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</si>
  <si>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</si>
  <si>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</si>
  <si>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</si>
  <si>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</si>
  <si>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</si>
  <si>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</si>
  <si>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</si>
  <si>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</si>
  <si>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</si>
  <si>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CUSTO POR LITRO SEM ICMS</t>
  </si>
  <si>
    <t>MOTORISTA PLENO</t>
  </si>
  <si>
    <t>MOTORISTA JUNIOR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</si>
  <si>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</si>
  <si>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</si>
  <si>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</si>
  <si>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</si>
  <si>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</si>
  <si>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</si>
  <si>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</si>
  <si>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</si>
  <si>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</si>
  <si>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</si>
  <si>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</si>
  <si>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</si>
  <si>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</si>
  <si>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ATUAL APÓS DISSÍDIO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</si>
  <si>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</si>
  <si>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</si>
  <si>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</si>
  <si>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</si>
  <si>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</si>
  <si>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</si>
  <si>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</si>
  <si>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Quilometragem Diária Considerada - ATUAL</t>
  </si>
  <si>
    <t>CUSTO POR LITRO COM ICMS</t>
  </si>
  <si>
    <t xml:space="preserve">COMPOSIÇÃO DO CUSTO DO DIESEL S500 </t>
  </si>
  <si>
    <t xml:space="preserve">COMPOSIÇÃO DO CUSTO DO DIESEL S10 </t>
  </si>
  <si>
    <t xml:space="preserve">ARLA 32 </t>
  </si>
  <si>
    <t>KM MENSAL S500</t>
  </si>
  <si>
    <t>KM MENSAL S10</t>
  </si>
  <si>
    <t>PORCENTAGEM / KM</t>
  </si>
  <si>
    <t>S10</t>
  </si>
  <si>
    <t>S500</t>
  </si>
  <si>
    <t>COMUM</t>
  </si>
  <si>
    <t>MID BUS</t>
  </si>
  <si>
    <t>COMPOSIÇÃO KM /TIPO DE COMBUSTIVEL - % CATEGORIA</t>
  </si>
  <si>
    <t>Combustível S500</t>
  </si>
  <si>
    <t>Combustível S10</t>
  </si>
  <si>
    <t>Arla</t>
  </si>
  <si>
    <t>Combustível s500</t>
  </si>
  <si>
    <t>Combustível s10</t>
  </si>
  <si>
    <t>R$/tarifa</t>
  </si>
  <si>
    <t>Remuneração Mês</t>
  </si>
  <si>
    <t>Remuneração Ano</t>
  </si>
  <si>
    <t>Custo KM</t>
  </si>
  <si>
    <t xml:space="preserve">% </t>
  </si>
  <si>
    <t>Subtotal A)</t>
  </si>
  <si>
    <t>Subtotal B)</t>
  </si>
  <si>
    <t>Subtotal D)</t>
  </si>
  <si>
    <t>DISTRIBUIÇÃO DA FROTA (JAN/2016)</t>
  </si>
  <si>
    <t>ADEQUAÇÕES BANHEIROS</t>
  </si>
  <si>
    <t>REAJUSTE</t>
  </si>
  <si>
    <t>ATUAL</t>
  </si>
  <si>
    <t>VALE ALIMENTAÇÃO DATA BASE/2016</t>
  </si>
  <si>
    <t>atual</t>
  </si>
  <si>
    <t xml:space="preserve">AMTT - PLANILHA DE  CUSTOS  DO SISTEMA DE TRANSPORTE PÚBLICO DE PONTA GROSSA - JANEIRO 2017 </t>
  </si>
  <si>
    <t>FATORES DE UTILIZAÇÃO DE MOTORISTAS E COBRADORES 2016</t>
  </si>
  <si>
    <t>FATORES DE UTILIZAÇÃO DE MOTORISTAS E COBRADORES 2017</t>
  </si>
  <si>
    <t>motoristas</t>
  </si>
  <si>
    <t>cobradores</t>
  </si>
  <si>
    <t>jan.17</t>
  </si>
  <si>
    <t>SALÁRIOS DATA BASE 2017</t>
  </si>
  <si>
    <t>plano de saude</t>
  </si>
  <si>
    <t>CUSTO MÊS 2016</t>
  </si>
  <si>
    <t>CUSTO MÊS 2017</t>
  </si>
  <si>
    <t>%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</si>
</sst>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</numFmts>
  <fonts count="48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b/>
      <sz val="10"/>
      <color indexed="8"/>
      <name val="Courier"/>
      <family val="3"/>
    </font>
    <font>
      <b/>
      <sz val="8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8"/>
      <name val="Courie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1" applyNumberFormat="0" applyAlignment="0" applyProtection="0"/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0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3" fillId="11" borderId="5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26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0" fillId="0" borderId="0" xfId="0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Font="1" applyBorder="1" applyAlignment="1">
      <alignment/>
    </xf>
    <xf numFmtId="37" fontId="30" fillId="0" borderId="0" xfId="0" applyFont="1" applyAlignment="1">
      <alignment vertical="center"/>
    </xf>
    <xf numFmtId="37" fontId="30" fillId="0" borderId="0" xfId="0" applyFont="1" applyFill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52" applyNumberFormat="1" applyFont="1" applyFill="1" applyBorder="1" applyAlignment="1">
      <alignment vertical="center"/>
      <protection/>
    </xf>
    <xf numFmtId="37" fontId="31" fillId="0" borderId="0" xfId="0" applyFont="1" applyFill="1" applyBorder="1" applyAlignment="1">
      <alignment vertical="center"/>
    </xf>
    <xf numFmtId="169" fontId="1" fillId="0" borderId="0" xfId="65" applyNumberFormat="1" applyFont="1" applyFill="1" applyBorder="1" applyAlignment="1">
      <alignment vertical="center"/>
    </xf>
    <xf numFmtId="169" fontId="11" fillId="0" borderId="10" xfId="65" applyNumberFormat="1" applyFont="1" applyFill="1" applyBorder="1" applyAlignment="1">
      <alignment horizontal="right" vertical="center"/>
    </xf>
    <xf numFmtId="169" fontId="11" fillId="0" borderId="11" xfId="65" applyNumberFormat="1" applyFont="1" applyFill="1" applyBorder="1" applyAlignment="1">
      <alignment horizontal="right" vertical="center"/>
    </xf>
    <xf numFmtId="169" fontId="11" fillId="0" borderId="12" xfId="65" applyNumberFormat="1" applyFont="1" applyFill="1" applyBorder="1" applyAlignment="1">
      <alignment horizontal="right" vertical="center"/>
    </xf>
    <xf numFmtId="169" fontId="11" fillId="0" borderId="13" xfId="65" applyNumberFormat="1" applyFont="1" applyFill="1" applyBorder="1" applyAlignment="1">
      <alignment horizontal="right" vertical="center"/>
    </xf>
    <xf numFmtId="39" fontId="30" fillId="0" borderId="14" xfId="0" applyNumberFormat="1" applyFont="1" applyFill="1" applyBorder="1" applyAlignment="1">
      <alignment horizontal="center" vertical="center"/>
    </xf>
    <xf numFmtId="39" fontId="30" fillId="0" borderId="15" xfId="0" applyNumberFormat="1" applyFont="1" applyFill="1" applyBorder="1" applyAlignment="1">
      <alignment horizontal="center" vertical="center"/>
    </xf>
    <xf numFmtId="39" fontId="30" fillId="0" borderId="16" xfId="0" applyNumberFormat="1" applyFont="1" applyFill="1" applyBorder="1" applyAlignment="1">
      <alignment horizontal="center" vertical="center"/>
    </xf>
    <xf numFmtId="169" fontId="11" fillId="0" borderId="17" xfId="65" applyNumberFormat="1" applyFont="1" applyFill="1" applyBorder="1" applyAlignment="1">
      <alignment horizontal="right" vertical="center"/>
    </xf>
    <xf numFmtId="17" fontId="11" fillId="0" borderId="18" xfId="0" applyNumberFormat="1" applyFont="1" applyBorder="1" applyAlignment="1">
      <alignment horizontal="left" vertical="center" indent="1"/>
    </xf>
    <xf numFmtId="39" fontId="0" fillId="0" borderId="0" xfId="0" applyNumberFormat="1" applyFont="1" applyBorder="1" applyAlignment="1">
      <alignment/>
    </xf>
    <xf numFmtId="39" fontId="30" fillId="0" borderId="19" xfId="0" applyNumberFormat="1" applyFont="1" applyFill="1" applyBorder="1" applyAlignment="1">
      <alignment horizontal="center" vertical="center"/>
    </xf>
    <xf numFmtId="169" fontId="11" fillId="0" borderId="20" xfId="65" applyNumberFormat="1" applyFont="1" applyFill="1" applyBorder="1" applyAlignment="1">
      <alignment horizontal="right" vertical="center"/>
    </xf>
    <xf numFmtId="169" fontId="11" fillId="0" borderId="21" xfId="65" applyNumberFormat="1" applyFont="1" applyFill="1" applyBorder="1" applyAlignment="1">
      <alignment horizontal="right" vertical="center"/>
    </xf>
    <xf numFmtId="169" fontId="11" fillId="0" borderId="22" xfId="65" applyNumberFormat="1" applyFont="1" applyFill="1" applyBorder="1" applyAlignment="1">
      <alignment horizontal="right" vertical="center"/>
    </xf>
    <xf numFmtId="37" fontId="0" fillId="0" borderId="0" xfId="0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30" fillId="0" borderId="23" xfId="0" applyNumberFormat="1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left" vertical="center" indent="1"/>
    </xf>
    <xf numFmtId="169" fontId="11" fillId="0" borderId="0" xfId="0" applyNumberFormat="1" applyFont="1" applyFill="1" applyBorder="1" applyAlignment="1">
      <alignment horizontal="center" vertical="center"/>
    </xf>
    <xf numFmtId="169" fontId="11" fillId="0" borderId="14" xfId="65" applyNumberFormat="1" applyFont="1" applyFill="1" applyBorder="1" applyAlignment="1">
      <alignment horizontal="right" vertical="center"/>
    </xf>
    <xf numFmtId="37" fontId="32" fillId="0" borderId="24" xfId="0" applyFont="1" applyFill="1" applyBorder="1" applyAlignment="1">
      <alignment vertical="center"/>
    </xf>
    <xf numFmtId="37" fontId="32" fillId="0" borderId="18" xfId="0" applyFont="1" applyFill="1" applyBorder="1" applyAlignment="1">
      <alignment vertical="center"/>
    </xf>
    <xf numFmtId="37" fontId="32" fillId="0" borderId="23" xfId="0" applyFont="1" applyFill="1" applyBorder="1" applyAlignment="1">
      <alignment vertical="center"/>
    </xf>
    <xf numFmtId="169" fontId="30" fillId="0" borderId="25" xfId="0" applyNumberFormat="1" applyFont="1" applyFill="1" applyBorder="1" applyAlignment="1">
      <alignment horizontal="center" vertical="center"/>
    </xf>
    <xf numFmtId="169" fontId="30" fillId="0" borderId="26" xfId="0" applyNumberFormat="1" applyFont="1" applyFill="1" applyBorder="1" applyAlignment="1">
      <alignment horizontal="center" vertical="center"/>
    </xf>
    <xf numFmtId="169" fontId="30" fillId="0" borderId="27" xfId="0" applyNumberFormat="1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center" vertical="center"/>
    </xf>
    <xf numFmtId="169" fontId="30" fillId="0" borderId="11" xfId="0" applyNumberFormat="1" applyFont="1" applyFill="1" applyBorder="1" applyAlignment="1">
      <alignment horizontal="center" vertical="center"/>
    </xf>
    <xf numFmtId="169" fontId="30" fillId="0" borderId="21" xfId="0" applyNumberFormat="1" applyFont="1" applyFill="1" applyBorder="1" applyAlignment="1">
      <alignment horizontal="center" vertical="center"/>
    </xf>
    <xf numFmtId="37" fontId="30" fillId="0" borderId="0" xfId="0" applyFont="1" applyAlignment="1">
      <alignment/>
    </xf>
    <xf numFmtId="37" fontId="30" fillId="0" borderId="0" xfId="0" applyFont="1" applyBorder="1" applyAlignment="1">
      <alignment vertical="center"/>
    </xf>
    <xf numFmtId="165" fontId="30" fillId="0" borderId="11" xfId="65" applyFont="1" applyFill="1" applyBorder="1" applyAlignment="1">
      <alignment horizontal="right" vertical="center"/>
    </xf>
    <xf numFmtId="37" fontId="30" fillId="0" borderId="28" xfId="0" applyFont="1" applyBorder="1" applyAlignment="1">
      <alignment horizontal="center" vertical="center" wrapText="1"/>
    </xf>
    <xf numFmtId="37" fontId="30" fillId="0" borderId="29" xfId="0" applyFont="1" applyBorder="1" applyAlignment="1">
      <alignment horizontal="center" vertical="center" wrapText="1"/>
    </xf>
    <xf numFmtId="37" fontId="30" fillId="0" borderId="30" xfId="0" applyFont="1" applyBorder="1" applyAlignment="1">
      <alignment horizontal="center" vertical="center" wrapText="1"/>
    </xf>
    <xf numFmtId="37" fontId="30" fillId="0" borderId="29" xfId="0" applyFont="1" applyBorder="1" applyAlignment="1">
      <alignment horizontal="center" vertical="center"/>
    </xf>
    <xf numFmtId="37" fontId="30" fillId="0" borderId="30" xfId="0" applyFont="1" applyBorder="1" applyAlignment="1">
      <alignment horizontal="center" vertical="center"/>
    </xf>
    <xf numFmtId="165" fontId="30" fillId="0" borderId="0" xfId="65" applyFont="1" applyFill="1" applyBorder="1" applyAlignment="1">
      <alignment horizontal="left" vertical="center"/>
    </xf>
    <xf numFmtId="165" fontId="30" fillId="0" borderId="0" xfId="65" applyFont="1" applyFill="1" applyBorder="1" applyAlignment="1">
      <alignment horizontal="right" vertical="center"/>
    </xf>
    <xf numFmtId="165" fontId="33" fillId="0" borderId="0" xfId="65" applyFont="1" applyFill="1" applyBorder="1" applyAlignment="1">
      <alignment horizontal="right" vertical="center"/>
    </xf>
    <xf numFmtId="37" fontId="30" fillId="0" borderId="13" xfId="0" applyFont="1" applyFill="1" applyBorder="1" applyAlignment="1">
      <alignment horizontal="right" vertical="center" indent="1"/>
    </xf>
    <xf numFmtId="37" fontId="33" fillId="0" borderId="20" xfId="0" applyFont="1" applyFill="1" applyBorder="1" applyAlignment="1">
      <alignment horizontal="right" vertical="center" indent="1"/>
    </xf>
    <xf numFmtId="37" fontId="30" fillId="0" borderId="11" xfId="0" applyFont="1" applyFill="1" applyBorder="1" applyAlignment="1">
      <alignment horizontal="right" vertical="center" indent="1"/>
    </xf>
    <xf numFmtId="37" fontId="33" fillId="0" borderId="31" xfId="0" applyFont="1" applyFill="1" applyBorder="1" applyAlignment="1">
      <alignment horizontal="right" vertical="center" indent="1"/>
    </xf>
    <xf numFmtId="37" fontId="33" fillId="0" borderId="32" xfId="0" applyFont="1" applyFill="1" applyBorder="1" applyAlignment="1">
      <alignment horizontal="right" vertical="center" indent="1"/>
    </xf>
    <xf numFmtId="37" fontId="33" fillId="0" borderId="0" xfId="0" applyFont="1" applyFill="1" applyBorder="1" applyAlignment="1">
      <alignment horizontal="right" vertical="center" indent="1"/>
    </xf>
    <xf numFmtId="37" fontId="30" fillId="0" borderId="33" xfId="0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37" fontId="30" fillId="0" borderId="28" xfId="0" applyFont="1" applyBorder="1" applyAlignment="1">
      <alignment horizontal="center" vertical="center"/>
    </xf>
    <xf numFmtId="37" fontId="30" fillId="0" borderId="12" xfId="0" applyFont="1" applyFill="1" applyBorder="1" applyAlignment="1">
      <alignment horizontal="right" vertical="center" indent="1"/>
    </xf>
    <xf numFmtId="37" fontId="30" fillId="0" borderId="10" xfId="0" applyFont="1" applyFill="1" applyBorder="1" applyAlignment="1">
      <alignment horizontal="right" vertical="center" indent="1"/>
    </xf>
    <xf numFmtId="37" fontId="33" fillId="0" borderId="36" xfId="0" applyFont="1" applyFill="1" applyBorder="1" applyAlignment="1">
      <alignment horizontal="right" vertical="center" indent="1"/>
    </xf>
    <xf numFmtId="37" fontId="30" fillId="0" borderId="0" xfId="0" applyFont="1" applyBorder="1" applyAlignment="1">
      <alignment horizontal="center" vertical="center"/>
    </xf>
    <xf numFmtId="37" fontId="30" fillId="0" borderId="0" xfId="0" applyFont="1" applyFill="1" applyBorder="1" applyAlignment="1">
      <alignment horizontal="center" vertical="center"/>
    </xf>
    <xf numFmtId="37" fontId="9" fillId="0" borderId="0" xfId="0" applyFont="1" applyBorder="1" applyAlignment="1">
      <alignment/>
    </xf>
    <xf numFmtId="39" fontId="30" fillId="0" borderId="0" xfId="0" applyNumberFormat="1" applyFont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5" borderId="37" xfId="0" applyFont="1" applyFill="1" applyBorder="1" applyAlignment="1">
      <alignment horizontal="center" vertical="center"/>
    </xf>
    <xf numFmtId="37" fontId="11" fillId="5" borderId="38" xfId="0" applyFont="1" applyFill="1" applyBorder="1" applyAlignment="1">
      <alignment horizontal="center" vertical="center"/>
    </xf>
    <xf numFmtId="37" fontId="11" fillId="5" borderId="39" xfId="0" applyFont="1" applyFill="1" applyBorder="1" applyAlignment="1">
      <alignment horizontal="center" vertical="center"/>
    </xf>
    <xf numFmtId="37" fontId="11" fillId="5" borderId="40" xfId="0" applyFont="1" applyFill="1" applyBorder="1" applyAlignment="1">
      <alignment horizontal="center" vertical="center"/>
    </xf>
    <xf numFmtId="37" fontId="11" fillId="0" borderId="41" xfId="0" applyFont="1" applyFill="1" applyBorder="1" applyAlignment="1">
      <alignment horizontal="center" vertical="center"/>
    </xf>
    <xf numFmtId="37" fontId="11" fillId="5" borderId="42" xfId="0" applyFont="1" applyFill="1" applyBorder="1" applyAlignment="1">
      <alignment horizontal="center" vertical="center"/>
    </xf>
    <xf numFmtId="165" fontId="34" fillId="0" borderId="0" xfId="65" applyNumberFormat="1" applyFont="1" applyFill="1" applyBorder="1" applyAlignment="1">
      <alignment vertical="center"/>
    </xf>
    <xf numFmtId="4" fontId="11" fillId="0" borderId="20" xfId="65" applyNumberFormat="1" applyFont="1" applyBorder="1" applyAlignment="1">
      <alignment horizontal="right" vertical="center"/>
    </xf>
    <xf numFmtId="37" fontId="11" fillId="0" borderId="0" xfId="0" applyFont="1" applyBorder="1" applyAlignment="1">
      <alignment vertical="center"/>
    </xf>
    <xf numFmtId="4" fontId="11" fillId="0" borderId="21" xfId="65" applyNumberFormat="1" applyFont="1" applyBorder="1" applyAlignment="1">
      <alignment horizontal="right" vertical="center"/>
    </xf>
    <xf numFmtId="4" fontId="11" fillId="0" borderId="19" xfId="65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4" fontId="11" fillId="0" borderId="20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168" fontId="11" fillId="0" borderId="0" xfId="0" applyNumberFormat="1" applyFont="1" applyBorder="1" applyAlignment="1">
      <alignment vertical="center"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46" xfId="0" applyFont="1" applyBorder="1" applyAlignment="1">
      <alignment/>
    </xf>
    <xf numFmtId="37" fontId="0" fillId="0" borderId="33" xfId="0" applyFont="1" applyBorder="1" applyAlignment="1">
      <alignment/>
    </xf>
    <xf numFmtId="37" fontId="0" fillId="0" borderId="47" xfId="0" applyFont="1" applyBorder="1" applyAlignment="1">
      <alignment/>
    </xf>
    <xf numFmtId="0" fontId="30" fillId="4" borderId="48" xfId="0" applyNumberFormat="1" applyFont="1" applyFill="1" applyBorder="1" applyAlignment="1">
      <alignment horizontal="center" vertical="center"/>
    </xf>
    <xf numFmtId="39" fontId="11" fillId="4" borderId="49" xfId="0" applyNumberFormat="1" applyFont="1" applyFill="1" applyBorder="1" applyAlignment="1">
      <alignment horizontal="right" vertical="center" indent="1"/>
    </xf>
    <xf numFmtId="37" fontId="30" fillId="7" borderId="48" xfId="0" applyFont="1" applyFill="1" applyBorder="1" applyAlignment="1">
      <alignment horizontal="center" vertical="center"/>
    </xf>
    <xf numFmtId="37" fontId="33" fillId="7" borderId="49" xfId="0" applyFont="1" applyFill="1" applyBorder="1" applyAlignment="1">
      <alignment horizontal="right" vertical="center" indent="1"/>
    </xf>
    <xf numFmtId="37" fontId="33" fillId="7" borderId="50" xfId="0" applyFont="1" applyFill="1" applyBorder="1" applyAlignment="1">
      <alignment horizontal="right" vertical="center" indent="1"/>
    </xf>
    <xf numFmtId="37" fontId="33" fillId="7" borderId="51" xfId="0" applyFont="1" applyFill="1" applyBorder="1" applyAlignment="1">
      <alignment horizontal="right" vertical="center" indent="1"/>
    </xf>
    <xf numFmtId="37" fontId="11" fillId="0" borderId="0" xfId="0" applyFont="1" applyFill="1" applyAlignment="1">
      <alignment vertical="center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37" fontId="31" fillId="0" borderId="0" xfId="0" applyFont="1" applyFill="1" applyAlignment="1">
      <alignment/>
    </xf>
    <xf numFmtId="176" fontId="31" fillId="0" borderId="0" xfId="0" applyNumberFormat="1" applyFont="1" applyAlignment="1">
      <alignment/>
    </xf>
    <xf numFmtId="39" fontId="31" fillId="0" borderId="0" xfId="0" applyNumberFormat="1" applyFont="1" applyAlignment="1">
      <alignment/>
    </xf>
    <xf numFmtId="37" fontId="31" fillId="0" borderId="0" xfId="0" applyFont="1" applyBorder="1" applyAlignment="1">
      <alignment/>
    </xf>
    <xf numFmtId="37" fontId="31" fillId="0" borderId="0" xfId="0" applyFont="1" applyFill="1" applyBorder="1" applyAlignment="1">
      <alignment horizontal="center" vertical="center"/>
    </xf>
    <xf numFmtId="37" fontId="35" fillId="0" borderId="0" xfId="0" applyFont="1" applyBorder="1" applyAlignment="1">
      <alignment horizontal="center" vertical="center"/>
    </xf>
    <xf numFmtId="37" fontId="9" fillId="0" borderId="0" xfId="0" applyFont="1" applyFill="1" applyBorder="1" applyAlignment="1">
      <alignment/>
    </xf>
    <xf numFmtId="37" fontId="31" fillId="0" borderId="0" xfId="0" applyFont="1" applyFill="1" applyBorder="1" applyAlignment="1">
      <alignment/>
    </xf>
    <xf numFmtId="171" fontId="11" fillId="0" borderId="18" xfId="0" applyNumberFormat="1" applyFont="1" applyFill="1" applyBorder="1" applyAlignment="1">
      <alignment horizontal="center" vertical="center"/>
    </xf>
    <xf numFmtId="171" fontId="11" fillId="0" borderId="52" xfId="0" applyNumberFormat="1" applyFont="1" applyFill="1" applyBorder="1" applyAlignment="1">
      <alignment horizontal="center" vertical="center"/>
    </xf>
    <xf numFmtId="171" fontId="11" fillId="0" borderId="53" xfId="0" applyNumberFormat="1" applyFont="1" applyFill="1" applyBorder="1" applyAlignment="1">
      <alignment horizontal="center" vertical="center"/>
    </xf>
    <xf numFmtId="171" fontId="11" fillId="0" borderId="21" xfId="0" applyNumberFormat="1" applyFont="1" applyFill="1" applyBorder="1" applyAlignment="1">
      <alignment horizontal="center" vertical="center"/>
    </xf>
    <xf numFmtId="171" fontId="11" fillId="0" borderId="18" xfId="65" applyNumberFormat="1" applyFont="1" applyFill="1" applyBorder="1" applyAlignment="1">
      <alignment horizontal="center" vertical="center"/>
    </xf>
    <xf numFmtId="171" fontId="11" fillId="0" borderId="10" xfId="65" applyNumberFormat="1" applyFont="1" applyFill="1" applyBorder="1" applyAlignment="1">
      <alignment horizontal="center" vertical="center"/>
    </xf>
    <xf numFmtId="171" fontId="11" fillId="0" borderId="12" xfId="65" applyNumberFormat="1" applyFont="1" applyFill="1" applyBorder="1" applyAlignment="1">
      <alignment horizontal="center" vertical="center"/>
    </xf>
    <xf numFmtId="37" fontId="11" fillId="0" borderId="54" xfId="0" applyFont="1" applyFill="1" applyBorder="1" applyAlignment="1">
      <alignment horizontal="left" vertical="center" indent="1"/>
    </xf>
    <xf numFmtId="37" fontId="36" fillId="0" borderId="34" xfId="0" applyFont="1" applyBorder="1" applyAlignment="1">
      <alignment horizontal="left" vertical="center" indent="1"/>
    </xf>
    <xf numFmtId="37" fontId="36" fillId="0" borderId="35" xfId="0" applyFont="1" applyBorder="1" applyAlignment="1">
      <alignment horizontal="left" vertical="center" indent="1"/>
    </xf>
    <xf numFmtId="37" fontId="36" fillId="0" borderId="35" xfId="0" applyFont="1" applyBorder="1" applyAlignment="1" quotePrefix="1">
      <alignment horizontal="left" vertical="center" indent="1"/>
    </xf>
    <xf numFmtId="37" fontId="36" fillId="0" borderId="35" xfId="0" applyFont="1" applyFill="1" applyBorder="1" applyAlignment="1">
      <alignment horizontal="left" vertical="center" indent="1"/>
    </xf>
    <xf numFmtId="37" fontId="37" fillId="7" borderId="55" xfId="0" applyFont="1" applyFill="1" applyBorder="1" applyAlignment="1">
      <alignment horizontal="left" vertical="center" indent="1"/>
    </xf>
    <xf numFmtId="174" fontId="31" fillId="0" borderId="0" xfId="0" applyNumberFormat="1" applyFont="1" applyBorder="1" applyAlignment="1">
      <alignment/>
    </xf>
    <xf numFmtId="37" fontId="11" fillId="0" borderId="56" xfId="0" applyFont="1" applyFill="1" applyBorder="1" applyAlignment="1">
      <alignment horizontal="center" vertical="center"/>
    </xf>
    <xf numFmtId="37" fontId="11" fillId="0" borderId="22" xfId="0" applyFont="1" applyFill="1" applyBorder="1" applyAlignment="1">
      <alignment horizontal="center" vertical="center"/>
    </xf>
    <xf numFmtId="37" fontId="36" fillId="0" borderId="57" xfId="0" applyFont="1" applyFill="1" applyBorder="1" applyAlignment="1">
      <alignment horizontal="left" vertical="center" indent="1"/>
    </xf>
    <xf numFmtId="171" fontId="11" fillId="0" borderId="56" xfId="0" applyNumberFormat="1" applyFont="1" applyFill="1" applyBorder="1" applyAlignment="1">
      <alignment horizontal="center" vertical="center"/>
    </xf>
    <xf numFmtId="37" fontId="36" fillId="0" borderId="57" xfId="0" applyFont="1" applyBorder="1" applyAlignment="1">
      <alignment horizontal="left" vertical="center" indent="1"/>
    </xf>
    <xf numFmtId="37" fontId="11" fillId="0" borderId="0" xfId="0" applyFont="1" applyAlignment="1">
      <alignment vertical="center"/>
    </xf>
    <xf numFmtId="37" fontId="30" fillId="0" borderId="58" xfId="0" applyFont="1" applyBorder="1" applyAlignment="1">
      <alignment vertical="center"/>
    </xf>
    <xf numFmtId="37" fontId="30" fillId="0" borderId="18" xfId="0" applyFont="1" applyBorder="1" applyAlignment="1">
      <alignment vertical="center"/>
    </xf>
    <xf numFmtId="37" fontId="30" fillId="0" borderId="58" xfId="0" applyFont="1" applyFill="1" applyBorder="1" applyAlignment="1">
      <alignment vertical="center"/>
    </xf>
    <xf numFmtId="37" fontId="30" fillId="0" borderId="18" xfId="0" applyFont="1" applyFill="1" applyBorder="1" applyAlignment="1">
      <alignment vertical="center"/>
    </xf>
    <xf numFmtId="9" fontId="30" fillId="4" borderId="59" xfId="54" applyFont="1" applyFill="1" applyBorder="1" applyAlignment="1">
      <alignment vertical="center"/>
    </xf>
    <xf numFmtId="37" fontId="30" fillId="0" borderId="59" xfId="0" applyFont="1" applyBorder="1" applyAlignment="1">
      <alignment vertical="center"/>
    </xf>
    <xf numFmtId="37" fontId="4" fillId="0" borderId="0" xfId="0" applyFont="1" applyAlignment="1">
      <alignment/>
    </xf>
    <xf numFmtId="37" fontId="30" fillId="4" borderId="59" xfId="0" applyFont="1" applyFill="1" applyBorder="1" applyAlignment="1">
      <alignment vertical="center"/>
    </xf>
    <xf numFmtId="39" fontId="30" fillId="4" borderId="22" xfId="0" applyNumberFormat="1" applyFont="1" applyFill="1" applyBorder="1" applyAlignment="1">
      <alignment vertical="center"/>
    </xf>
    <xf numFmtId="37" fontId="36" fillId="0" borderId="34" xfId="0" applyFont="1" applyFill="1" applyBorder="1" applyAlignment="1">
      <alignment horizontal="left" vertical="center" indent="1"/>
    </xf>
    <xf numFmtId="171" fontId="11" fillId="0" borderId="58" xfId="0" applyNumberFormat="1" applyFont="1" applyFill="1" applyBorder="1" applyAlignment="1">
      <alignment horizontal="center" vertical="center"/>
    </xf>
    <xf numFmtId="37" fontId="36" fillId="0" borderId="35" xfId="0" applyFont="1" applyFill="1" applyBorder="1" applyAlignment="1" quotePrefix="1">
      <alignment horizontal="left" vertical="center" indent="1"/>
    </xf>
    <xf numFmtId="37" fontId="36" fillId="0" borderId="57" xfId="0" applyFont="1" applyFill="1" applyBorder="1" applyAlignment="1" quotePrefix="1">
      <alignment horizontal="left" vertical="center" indent="1"/>
    </xf>
    <xf numFmtId="171" fontId="30" fillId="0" borderId="13" xfId="0" applyNumberFormat="1" applyFont="1" applyFill="1" applyBorder="1" applyAlignment="1">
      <alignment horizontal="center" vertical="center"/>
    </xf>
    <xf numFmtId="37" fontId="30" fillId="0" borderId="17" xfId="0" applyFont="1" applyFill="1" applyBorder="1" applyAlignment="1">
      <alignment horizontal="center" vertical="center"/>
    </xf>
    <xf numFmtId="165" fontId="30" fillId="0" borderId="11" xfId="65" applyFont="1" applyFill="1" applyBorder="1" applyAlignment="1">
      <alignment horizontal="center" vertical="center"/>
    </xf>
    <xf numFmtId="165" fontId="30" fillId="0" borderId="17" xfId="65" applyFont="1" applyFill="1" applyBorder="1" applyAlignment="1">
      <alignment horizontal="center" vertical="center"/>
    </xf>
    <xf numFmtId="171" fontId="32" fillId="0" borderId="12" xfId="0" applyNumberFormat="1" applyFont="1" applyFill="1" applyBorder="1" applyAlignment="1">
      <alignment vertical="center"/>
    </xf>
    <xf numFmtId="171" fontId="32" fillId="0" borderId="58" xfId="0" applyNumberFormat="1" applyFont="1" applyFill="1" applyBorder="1" applyAlignment="1">
      <alignment horizontal="center" vertical="center"/>
    </xf>
    <xf numFmtId="171" fontId="32" fillId="0" borderId="12" xfId="0" applyNumberFormat="1" applyFont="1" applyFill="1" applyBorder="1" applyAlignment="1">
      <alignment horizontal="center" vertical="center"/>
    </xf>
    <xf numFmtId="10" fontId="30" fillId="0" borderId="11" xfId="54" applyNumberFormat="1" applyFont="1" applyFill="1" applyBorder="1" applyAlignment="1">
      <alignment horizontal="center" vertical="center"/>
    </xf>
    <xf numFmtId="10" fontId="30" fillId="0" borderId="21" xfId="54" applyNumberFormat="1" applyFont="1" applyFill="1" applyBorder="1" applyAlignment="1">
      <alignment horizontal="center" vertical="center"/>
    </xf>
    <xf numFmtId="171" fontId="32" fillId="0" borderId="10" xfId="0" applyNumberFormat="1" applyFont="1" applyFill="1" applyBorder="1" applyAlignment="1">
      <alignment horizontal="center" vertical="center"/>
    </xf>
    <xf numFmtId="175" fontId="32" fillId="0" borderId="10" xfId="0" applyNumberFormat="1" applyFont="1" applyFill="1" applyBorder="1" applyAlignment="1">
      <alignment horizontal="center" vertical="center"/>
    </xf>
    <xf numFmtId="37" fontId="32" fillId="0" borderId="60" xfId="0" applyFont="1" applyFill="1" applyBorder="1" applyAlignment="1">
      <alignment horizontal="center" vertical="center"/>
    </xf>
    <xf numFmtId="171" fontId="32" fillId="0" borderId="18" xfId="0" applyNumberFormat="1" applyFont="1" applyFill="1" applyBorder="1" applyAlignment="1">
      <alignment horizontal="center" vertical="center"/>
    </xf>
    <xf numFmtId="37" fontId="32" fillId="0" borderId="59" xfId="0" applyFont="1" applyFill="1" applyBorder="1" applyAlignment="1">
      <alignment horizontal="center" vertical="center"/>
    </xf>
    <xf numFmtId="175" fontId="32" fillId="0" borderId="6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right" vertical="center"/>
    </xf>
    <xf numFmtId="171" fontId="32" fillId="0" borderId="10" xfId="65" applyNumberFormat="1" applyFont="1" applyFill="1" applyBorder="1" applyAlignment="1">
      <alignment horizontal="center" vertical="center"/>
    </xf>
    <xf numFmtId="165" fontId="30" fillId="0" borderId="13" xfId="65" applyFont="1" applyFill="1" applyBorder="1" applyAlignment="1">
      <alignment horizontal="center" vertical="center"/>
    </xf>
    <xf numFmtId="172" fontId="30" fillId="0" borderId="11" xfId="65" applyNumberFormat="1" applyFont="1" applyFill="1" applyBorder="1" applyAlignment="1">
      <alignment horizontal="center" vertical="center"/>
    </xf>
    <xf numFmtId="165" fontId="30" fillId="0" borderId="13" xfId="65" applyFont="1" applyFill="1" applyBorder="1" applyAlignment="1">
      <alignment horizontal="right" vertical="center"/>
    </xf>
    <xf numFmtId="171" fontId="30" fillId="0" borderId="11" xfId="65" applyNumberFormat="1" applyFont="1" applyFill="1" applyBorder="1" applyAlignment="1">
      <alignment horizontal="right" vertical="center"/>
    </xf>
    <xf numFmtId="171" fontId="11" fillId="0" borderId="52" xfId="0" applyNumberFormat="1" applyFont="1" applyFill="1" applyBorder="1" applyAlignment="1">
      <alignment horizontal="right" vertical="center"/>
    </xf>
    <xf numFmtId="171" fontId="11" fillId="0" borderId="53" xfId="0" applyNumberFormat="1" applyFont="1" applyFill="1" applyBorder="1" applyAlignment="1">
      <alignment horizontal="right" vertical="center"/>
    </xf>
    <xf numFmtId="172" fontId="11" fillId="0" borderId="53" xfId="0" applyNumberFormat="1" applyFont="1" applyFill="1" applyBorder="1" applyAlignment="1">
      <alignment horizontal="right" vertical="center"/>
    </xf>
    <xf numFmtId="171" fontId="11" fillId="0" borderId="53" xfId="65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 vertical="center"/>
    </xf>
    <xf numFmtId="172" fontId="11" fillId="0" borderId="21" xfId="0" applyNumberFormat="1" applyFont="1" applyFill="1" applyBorder="1" applyAlignment="1">
      <alignment horizontal="right" vertical="center"/>
    </xf>
    <xf numFmtId="2" fontId="30" fillId="0" borderId="11" xfId="0" applyNumberFormat="1" applyFont="1" applyFill="1" applyBorder="1" applyAlignment="1">
      <alignment vertical="center"/>
    </xf>
    <xf numFmtId="37" fontId="38" fillId="4" borderId="61" xfId="0" applyFont="1" applyFill="1" applyBorder="1" applyAlignment="1">
      <alignment horizontal="left" vertical="center" indent="1"/>
    </xf>
    <xf numFmtId="37" fontId="30" fillId="4" borderId="60" xfId="0" applyFont="1" applyFill="1" applyBorder="1" applyAlignment="1">
      <alignment horizontal="center" vertical="center"/>
    </xf>
    <xf numFmtId="37" fontId="30" fillId="4" borderId="17" xfId="0" applyFont="1" applyFill="1" applyBorder="1" applyAlignment="1">
      <alignment horizontal="center" vertical="center"/>
    </xf>
    <xf numFmtId="37" fontId="30" fillId="4" borderId="22" xfId="0" applyFont="1" applyFill="1" applyBorder="1" applyAlignment="1">
      <alignment horizontal="center" vertical="center"/>
    </xf>
    <xf numFmtId="37" fontId="30" fillId="4" borderId="56" xfId="0" applyFont="1" applyFill="1" applyBorder="1" applyAlignment="1">
      <alignment horizontal="center" vertical="center"/>
    </xf>
    <xf numFmtId="37" fontId="30" fillId="4" borderId="59" xfId="0" applyFont="1" applyFill="1" applyBorder="1" applyAlignment="1">
      <alignment horizontal="center" vertical="center"/>
    </xf>
    <xf numFmtId="37" fontId="31" fillId="4" borderId="33" xfId="0" applyFont="1" applyFill="1" applyBorder="1" applyAlignment="1">
      <alignment horizontal="left" vertical="center" indent="1"/>
    </xf>
    <xf numFmtId="170" fontId="38" fillId="4" borderId="28" xfId="0" applyNumberFormat="1" applyFont="1" applyFill="1" applyBorder="1" applyAlignment="1">
      <alignment horizontal="center" vertical="center"/>
    </xf>
    <xf numFmtId="170" fontId="38" fillId="4" borderId="29" xfId="0" applyNumberFormat="1" applyFont="1" applyFill="1" applyBorder="1" applyAlignment="1">
      <alignment horizontal="center" vertical="center"/>
    </xf>
    <xf numFmtId="170" fontId="38" fillId="4" borderId="62" xfId="0" applyNumberFormat="1" applyFont="1" applyFill="1" applyBorder="1" applyAlignment="1">
      <alignment horizontal="center" vertical="center"/>
    </xf>
    <xf numFmtId="37" fontId="31" fillId="4" borderId="63" xfId="0" applyFont="1" applyFill="1" applyBorder="1" applyAlignment="1">
      <alignment horizontal="center" vertical="center"/>
    </xf>
    <xf numFmtId="37" fontId="31" fillId="4" borderId="29" xfId="0" applyFont="1" applyFill="1" applyBorder="1" applyAlignment="1">
      <alignment horizontal="center" vertical="center"/>
    </xf>
    <xf numFmtId="170" fontId="38" fillId="4" borderId="30" xfId="0" applyNumberFormat="1" applyFont="1" applyFill="1" applyBorder="1" applyAlignment="1">
      <alignment horizontal="center" vertical="center"/>
    </xf>
    <xf numFmtId="37" fontId="31" fillId="4" borderId="28" xfId="0" applyFont="1" applyFill="1" applyBorder="1" applyAlignment="1">
      <alignment horizontal="center" vertical="center"/>
    </xf>
    <xf numFmtId="171" fontId="31" fillId="4" borderId="63" xfId="0" applyNumberFormat="1" applyFont="1" applyFill="1" applyBorder="1" applyAlignment="1">
      <alignment horizontal="center" vertical="center"/>
    </xf>
    <xf numFmtId="165" fontId="11" fillId="0" borderId="53" xfId="0" applyNumberFormat="1" applyFont="1" applyFill="1" applyBorder="1" applyAlignment="1">
      <alignment horizontal="right" vertical="center"/>
    </xf>
    <xf numFmtId="171" fontId="11" fillId="0" borderId="59" xfId="0" applyNumberFormat="1" applyFont="1" applyFill="1" applyBorder="1" applyAlignment="1">
      <alignment horizontal="center" vertical="center"/>
    </xf>
    <xf numFmtId="165" fontId="30" fillId="0" borderId="21" xfId="65" applyFont="1" applyFill="1" applyBorder="1" applyAlignment="1">
      <alignment horizontal="right" vertical="center"/>
    </xf>
    <xf numFmtId="171" fontId="11" fillId="0" borderId="52" xfId="65" applyNumberFormat="1" applyFont="1" applyFill="1" applyBorder="1" applyAlignment="1">
      <alignment horizontal="right" vertical="center"/>
    </xf>
    <xf numFmtId="37" fontId="34" fillId="0" borderId="0" xfId="0" applyFont="1" applyBorder="1" applyAlignment="1">
      <alignment/>
    </xf>
    <xf numFmtId="37" fontId="34" fillId="0" borderId="0" xfId="0" applyFont="1" applyAlignment="1">
      <alignment/>
    </xf>
    <xf numFmtId="170" fontId="34" fillId="4" borderId="28" xfId="0" applyNumberFormat="1" applyFont="1" applyFill="1" applyBorder="1" applyAlignment="1">
      <alignment horizontal="center" vertical="center"/>
    </xf>
    <xf numFmtId="170" fontId="34" fillId="4" borderId="29" xfId="0" applyNumberFormat="1" applyFont="1" applyFill="1" applyBorder="1" applyAlignment="1">
      <alignment horizontal="center" vertical="center"/>
    </xf>
    <xf numFmtId="170" fontId="34" fillId="4" borderId="62" xfId="0" applyNumberFormat="1" applyFont="1" applyFill="1" applyBorder="1" applyAlignment="1">
      <alignment horizontal="center" vertical="center"/>
    </xf>
    <xf numFmtId="170" fontId="34" fillId="4" borderId="30" xfId="0" applyNumberFormat="1" applyFont="1" applyFill="1" applyBorder="1" applyAlignment="1">
      <alignment horizontal="center" vertical="center"/>
    </xf>
    <xf numFmtId="37" fontId="34" fillId="4" borderId="33" xfId="0" applyFont="1" applyFill="1" applyBorder="1" applyAlignment="1">
      <alignment horizontal="left" vertical="center" indent="1"/>
    </xf>
    <xf numFmtId="37" fontId="34" fillId="4" borderId="63" xfId="0" applyFont="1" applyFill="1" applyBorder="1" applyAlignment="1">
      <alignment horizontal="center" vertical="center"/>
    </xf>
    <xf numFmtId="37" fontId="34" fillId="4" borderId="29" xfId="0" applyFont="1" applyFill="1" applyBorder="1" applyAlignment="1">
      <alignment horizontal="center" vertical="center"/>
    </xf>
    <xf numFmtId="37" fontId="34" fillId="4" borderId="28" xfId="0" applyFont="1" applyFill="1" applyBorder="1" applyAlignment="1">
      <alignment horizontal="center" vertical="center"/>
    </xf>
    <xf numFmtId="171" fontId="34" fillId="4" borderId="63" xfId="0" applyNumberFormat="1" applyFont="1" applyFill="1" applyBorder="1" applyAlignment="1">
      <alignment horizontal="center" vertical="center"/>
    </xf>
    <xf numFmtId="37" fontId="34" fillId="4" borderId="0" xfId="0" applyFont="1" applyFill="1" applyBorder="1" applyAlignment="1">
      <alignment horizontal="left" vertical="center" indent="1"/>
    </xf>
    <xf numFmtId="170" fontId="34" fillId="4" borderId="36" xfId="0" applyNumberFormat="1" applyFont="1" applyFill="1" applyBorder="1" applyAlignment="1">
      <alignment horizontal="center" vertical="center"/>
    </xf>
    <xf numFmtId="170" fontId="34" fillId="4" borderId="31" xfId="0" applyNumberFormat="1" applyFont="1" applyFill="1" applyBorder="1" applyAlignment="1">
      <alignment horizontal="center" vertical="center"/>
    </xf>
    <xf numFmtId="170" fontId="34" fillId="4" borderId="64" xfId="0" applyNumberFormat="1" applyFont="1" applyFill="1" applyBorder="1" applyAlignment="1">
      <alignment horizontal="center" vertical="center"/>
    </xf>
    <xf numFmtId="37" fontId="34" fillId="4" borderId="36" xfId="0" applyFont="1" applyFill="1" applyBorder="1" applyAlignment="1">
      <alignment horizontal="center" vertical="center"/>
    </xf>
    <xf numFmtId="37" fontId="34" fillId="4" borderId="31" xfId="0" applyFont="1" applyFill="1" applyBorder="1" applyAlignment="1">
      <alignment horizontal="center" vertical="center"/>
    </xf>
    <xf numFmtId="171" fontId="34" fillId="4" borderId="65" xfId="0" applyNumberFormat="1" applyFont="1" applyFill="1" applyBorder="1" applyAlignment="1">
      <alignment horizontal="center" vertical="center"/>
    </xf>
    <xf numFmtId="37" fontId="31" fillId="0" borderId="33" xfId="0" applyFont="1" applyFill="1" applyBorder="1" applyAlignment="1">
      <alignment vertical="center"/>
    </xf>
    <xf numFmtId="37" fontId="36" fillId="0" borderId="0" xfId="0" applyFont="1" applyBorder="1" applyAlignment="1">
      <alignment horizontal="left" vertical="center" indent="2"/>
    </xf>
    <xf numFmtId="9" fontId="11" fillId="0" borderId="0" xfId="54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vertical="center"/>
    </xf>
    <xf numFmtId="171" fontId="36" fillId="0" borderId="0" xfId="0" applyNumberFormat="1" applyFont="1" applyFill="1" applyBorder="1" applyAlignment="1">
      <alignment horizontal="center" vertical="center"/>
    </xf>
    <xf numFmtId="10" fontId="11" fillId="0" borderId="0" xfId="54" applyNumberFormat="1" applyFont="1" applyFill="1" applyBorder="1" applyAlignment="1">
      <alignment horizontal="center" vertical="center"/>
    </xf>
    <xf numFmtId="37" fontId="31" fillId="4" borderId="66" xfId="0" applyFont="1" applyFill="1" applyBorder="1" applyAlignment="1">
      <alignment horizontal="left" vertical="center" indent="1"/>
    </xf>
    <xf numFmtId="37" fontId="31" fillId="4" borderId="67" xfId="0" applyFont="1" applyFill="1" applyBorder="1" applyAlignment="1">
      <alignment horizontal="left" vertical="center" indent="1"/>
    </xf>
    <xf numFmtId="37" fontId="11" fillId="11" borderId="66" xfId="0" applyFont="1" applyFill="1" applyBorder="1" applyAlignment="1">
      <alignment horizontal="left" vertical="center" indent="1"/>
    </xf>
    <xf numFmtId="171" fontId="31" fillId="11" borderId="24" xfId="0" applyNumberFormat="1" applyFont="1" applyFill="1" applyBorder="1" applyAlignment="1">
      <alignment horizontal="center" vertical="center"/>
    </xf>
    <xf numFmtId="37" fontId="31" fillId="11" borderId="67" xfId="0" applyFont="1" applyFill="1" applyBorder="1" applyAlignment="1">
      <alignment horizontal="left" vertical="center" indent="1"/>
    </xf>
    <xf numFmtId="37" fontId="11" fillId="11" borderId="67" xfId="0" applyFont="1" applyFill="1" applyBorder="1" applyAlignment="1">
      <alignment horizontal="right" vertical="center"/>
    </xf>
    <xf numFmtId="9" fontId="11" fillId="11" borderId="68" xfId="54" applyFont="1" applyFill="1" applyBorder="1" applyAlignment="1">
      <alignment horizontal="center" vertical="center"/>
    </xf>
    <xf numFmtId="37" fontId="11" fillId="11" borderId="69" xfId="0" applyFont="1" applyFill="1" applyBorder="1" applyAlignment="1">
      <alignment vertical="center"/>
    </xf>
    <xf numFmtId="37" fontId="11" fillId="11" borderId="68" xfId="0" applyFont="1" applyFill="1" applyBorder="1" applyAlignment="1">
      <alignment horizontal="right" vertical="center"/>
    </xf>
    <xf numFmtId="171" fontId="31" fillId="11" borderId="23" xfId="0" applyNumberFormat="1" applyFont="1" applyFill="1" applyBorder="1" applyAlignment="1">
      <alignment horizontal="center" vertical="center"/>
    </xf>
    <xf numFmtId="180" fontId="30" fillId="0" borderId="32" xfId="54" applyNumberFormat="1" applyFont="1" applyFill="1" applyBorder="1" applyAlignment="1">
      <alignment horizontal="right" vertical="center"/>
    </xf>
    <xf numFmtId="10" fontId="31" fillId="4" borderId="30" xfId="54" applyNumberFormat="1" applyFont="1" applyFill="1" applyBorder="1" applyAlignment="1">
      <alignment horizontal="right" vertical="center"/>
    </xf>
    <xf numFmtId="10" fontId="11" fillId="0" borderId="20" xfId="54" applyNumberFormat="1" applyFont="1" applyFill="1" applyBorder="1" applyAlignment="1">
      <alignment horizontal="right" vertical="center"/>
    </xf>
    <xf numFmtId="10" fontId="11" fillId="0" borderId="21" xfId="54" applyNumberFormat="1" applyFont="1" applyFill="1" applyBorder="1" applyAlignment="1">
      <alignment horizontal="right" vertical="center"/>
    </xf>
    <xf numFmtId="10" fontId="11" fillId="0" borderId="22" xfId="54" applyNumberFormat="1" applyFont="1" applyFill="1" applyBorder="1" applyAlignment="1">
      <alignment horizontal="right" vertical="center"/>
    </xf>
    <xf numFmtId="37" fontId="31" fillId="0" borderId="0" xfId="0" applyFont="1" applyFill="1" applyBorder="1" applyAlignment="1">
      <alignment horizontal="right" vertical="center"/>
    </xf>
    <xf numFmtId="10" fontId="34" fillId="4" borderId="30" xfId="54" applyNumberFormat="1" applyFont="1" applyFill="1" applyBorder="1" applyAlignment="1">
      <alignment horizontal="right" vertical="center"/>
    </xf>
    <xf numFmtId="10" fontId="34" fillId="4" borderId="32" xfId="54" applyNumberFormat="1" applyFont="1" applyFill="1" applyBorder="1" applyAlignment="1">
      <alignment horizontal="right" vertical="center"/>
    </xf>
    <xf numFmtId="37" fontId="31" fillId="0" borderId="33" xfId="0" applyFont="1" applyFill="1" applyBorder="1" applyAlignment="1">
      <alignment horizontal="right" vertical="center"/>
    </xf>
    <xf numFmtId="10" fontId="11" fillId="11" borderId="70" xfId="54" applyNumberFormat="1" applyFont="1" applyFill="1" applyBorder="1" applyAlignment="1">
      <alignment horizontal="right" vertical="center"/>
    </xf>
    <xf numFmtId="10" fontId="11" fillId="11" borderId="16" xfId="54" applyNumberFormat="1" applyFont="1" applyFill="1" applyBorder="1" applyAlignment="1">
      <alignment horizontal="right" vertical="center"/>
    </xf>
    <xf numFmtId="37" fontId="39" fillId="0" borderId="0" xfId="0" applyFont="1" applyAlignment="1">
      <alignment/>
    </xf>
    <xf numFmtId="37" fontId="34" fillId="9" borderId="33" xfId="0" applyFont="1" applyFill="1" applyBorder="1" applyAlignment="1">
      <alignment vertical="center"/>
    </xf>
    <xf numFmtId="165" fontId="11" fillId="9" borderId="33" xfId="65" applyFont="1" applyFill="1" applyBorder="1" applyAlignment="1">
      <alignment vertical="center"/>
    </xf>
    <xf numFmtId="37" fontId="34" fillId="9" borderId="65" xfId="0" applyFont="1" applyFill="1" applyBorder="1" applyAlignment="1">
      <alignment vertical="center"/>
    </xf>
    <xf numFmtId="177" fontId="38" fillId="9" borderId="32" xfId="65" applyNumberFormat="1" applyFont="1" applyFill="1" applyBorder="1" applyAlignment="1">
      <alignment horizontal="right" vertical="center"/>
    </xf>
    <xf numFmtId="173" fontId="30" fillId="0" borderId="58" xfId="0" applyNumberFormat="1" applyFont="1" applyBorder="1" applyAlignment="1">
      <alignment vertical="center"/>
    </xf>
    <xf numFmtId="37" fontId="30" fillId="0" borderId="23" xfId="0" applyFont="1" applyBorder="1" applyAlignment="1">
      <alignment vertical="center"/>
    </xf>
    <xf numFmtId="37" fontId="30" fillId="0" borderId="71" xfId="0" applyFont="1" applyBorder="1" applyAlignment="1">
      <alignment vertical="center"/>
    </xf>
    <xf numFmtId="37" fontId="30" fillId="0" borderId="18" xfId="0" applyFont="1" applyBorder="1" applyAlignment="1" quotePrefix="1">
      <alignment vertical="center"/>
    </xf>
    <xf numFmtId="9" fontId="11" fillId="11" borderId="68" xfId="54" applyFont="1" applyFill="1" applyBorder="1" applyAlignment="1" applyProtection="1">
      <alignment horizontal="center" vertical="center"/>
      <protection locked="0"/>
    </xf>
    <xf numFmtId="37" fontId="0" fillId="0" borderId="0" xfId="0" applyFont="1" applyAlignment="1">
      <alignment/>
    </xf>
    <xf numFmtId="10" fontId="30" fillId="0" borderId="21" xfId="54" applyNumberFormat="1" applyFont="1" applyFill="1" applyBorder="1" applyAlignment="1" applyProtection="1">
      <alignment horizontal="center" vertical="center"/>
      <protection locked="0"/>
    </xf>
    <xf numFmtId="37" fontId="30" fillId="0" borderId="58" xfId="51" applyFont="1" applyFill="1" applyBorder="1" applyAlignment="1">
      <alignment vertical="center"/>
      <protection/>
    </xf>
    <xf numFmtId="37" fontId="30" fillId="0" borderId="18" xfId="51" applyFont="1" applyFill="1" applyBorder="1" applyAlignment="1">
      <alignment vertical="center"/>
      <protection/>
    </xf>
    <xf numFmtId="177" fontId="30" fillId="4" borderId="32" xfId="51" applyNumberFormat="1" applyFont="1" applyFill="1" applyBorder="1" applyAlignment="1">
      <alignment horizontal="right" vertical="center"/>
      <protection/>
    </xf>
    <xf numFmtId="9" fontId="30" fillId="0" borderId="0" xfId="54" applyFont="1" applyFill="1" applyBorder="1" applyAlignment="1">
      <alignment vertical="center"/>
    </xf>
    <xf numFmtId="177" fontId="30" fillId="0" borderId="0" xfId="51" applyNumberFormat="1" applyFont="1" applyFill="1" applyBorder="1" applyAlignment="1">
      <alignment horizontal="right" vertical="center"/>
      <protection/>
    </xf>
    <xf numFmtId="37" fontId="30" fillId="0" borderId="0" xfId="51" applyFont="1" applyFill="1" applyBorder="1" applyAlignment="1">
      <alignment vertical="center"/>
      <protection/>
    </xf>
    <xf numFmtId="10" fontId="30" fillId="0" borderId="0" xfId="54" applyNumberFormat="1" applyFont="1" applyFill="1" applyBorder="1" applyAlignment="1" applyProtection="1">
      <alignment horizontal="center" vertical="center"/>
      <protection locked="0"/>
    </xf>
    <xf numFmtId="37" fontId="4" fillId="0" borderId="0" xfId="0" applyFont="1" applyFill="1" applyBorder="1" applyAlignment="1">
      <alignment/>
    </xf>
    <xf numFmtId="37" fontId="7" fillId="0" borderId="72" xfId="0" applyNumberFormat="1" applyFont="1" applyBorder="1" applyAlignment="1">
      <alignment/>
    </xf>
    <xf numFmtId="9" fontId="7" fillId="0" borderId="72" xfId="54" applyNumberFormat="1" applyFont="1" applyBorder="1" applyAlignment="1">
      <alignment/>
    </xf>
    <xf numFmtId="37" fontId="30" fillId="0" borderId="0" xfId="0" applyFont="1" applyFill="1" applyBorder="1" applyAlignment="1">
      <alignment vertical="center"/>
    </xf>
    <xf numFmtId="176" fontId="9" fillId="0" borderId="0" xfId="0" applyNumberFormat="1" applyFont="1" applyAlignment="1">
      <alignment/>
    </xf>
    <xf numFmtId="165" fontId="9" fillId="0" borderId="0" xfId="65" applyFont="1" applyAlignment="1">
      <alignment/>
    </xf>
    <xf numFmtId="4" fontId="0" fillId="0" borderId="0" xfId="0" applyNumberFormat="1" applyAlignment="1">
      <alignment/>
    </xf>
    <xf numFmtId="10" fontId="14" fillId="0" borderId="0" xfId="54" applyNumberFormat="1" applyFont="1" applyFill="1" applyAlignment="1">
      <alignment horizontal="center"/>
    </xf>
    <xf numFmtId="178" fontId="14" fillId="0" borderId="0" xfId="47" applyNumberFormat="1" applyFont="1" applyFill="1" applyAlignment="1">
      <alignment/>
    </xf>
    <xf numFmtId="37" fontId="14" fillId="0" borderId="0" xfId="0" applyFont="1" applyFill="1" applyBorder="1" applyAlignment="1">
      <alignment/>
    </xf>
    <xf numFmtId="37" fontId="29" fillId="0" borderId="0" xfId="0" applyFont="1" applyAlignment="1">
      <alignment/>
    </xf>
    <xf numFmtId="37" fontId="15" fillId="0" borderId="0" xfId="0" applyFont="1" applyAlignment="1">
      <alignment horizontal="center"/>
    </xf>
    <xf numFmtId="37" fontId="14" fillId="0" borderId="0" xfId="0" applyFont="1" applyAlignment="1">
      <alignment/>
    </xf>
    <xf numFmtId="9" fontId="14" fillId="0" borderId="0" xfId="54" applyFont="1" applyAlignment="1">
      <alignment horizontal="center"/>
    </xf>
    <xf numFmtId="178" fontId="14" fillId="0" borderId="0" xfId="0" applyNumberFormat="1" applyFont="1" applyAlignment="1">
      <alignment horizontal="center"/>
    </xf>
    <xf numFmtId="37" fontId="14" fillId="18" borderId="0" xfId="0" applyFont="1" applyFill="1" applyAlignment="1">
      <alignment horizontal="center"/>
    </xf>
    <xf numFmtId="176" fontId="31" fillId="0" borderId="0" xfId="0" applyNumberFormat="1" applyFont="1" applyFill="1" applyAlignment="1">
      <alignment/>
    </xf>
    <xf numFmtId="176" fontId="31" fillId="0" borderId="0" xfId="54" applyNumberFormat="1" applyFont="1" applyAlignment="1">
      <alignment/>
    </xf>
    <xf numFmtId="176" fontId="31" fillId="0" borderId="0" xfId="0" applyNumberFormat="1" applyFont="1" applyFill="1" applyBorder="1" applyAlignment="1">
      <alignment/>
    </xf>
    <xf numFmtId="176" fontId="40" fillId="0" borderId="0" xfId="0" applyNumberFormat="1" applyFont="1" applyAlignment="1">
      <alignment horizontal="center"/>
    </xf>
    <xf numFmtId="37" fontId="36" fillId="0" borderId="0" xfId="0" applyFont="1" applyFill="1" applyBorder="1" applyAlignment="1">
      <alignment horizontal="left" vertical="center" indent="1"/>
    </xf>
    <xf numFmtId="37" fontId="36" fillId="0" borderId="73" xfId="0" applyFont="1" applyFill="1" applyBorder="1" applyAlignment="1">
      <alignment horizontal="left" vertical="center" indent="1"/>
    </xf>
    <xf numFmtId="176" fontId="40" fillId="0" borderId="73" xfId="0" applyNumberFormat="1" applyFont="1" applyBorder="1" applyAlignment="1">
      <alignment horizontal="center"/>
    </xf>
    <xf numFmtId="10" fontId="14" fillId="0" borderId="73" xfId="54" applyNumberFormat="1" applyFont="1" applyFill="1" applyBorder="1" applyAlignment="1">
      <alignment horizontal="center"/>
    </xf>
    <xf numFmtId="178" fontId="14" fillId="0" borderId="73" xfId="47" applyNumberFormat="1" applyFont="1" applyFill="1" applyBorder="1" applyAlignment="1">
      <alignment/>
    </xf>
    <xf numFmtId="37" fontId="36" fillId="0" borderId="73" xfId="0" applyFont="1" applyFill="1" applyBorder="1" applyAlignment="1" quotePrefix="1">
      <alignment horizontal="left" vertical="center" indent="1"/>
    </xf>
    <xf numFmtId="37" fontId="36" fillId="0" borderId="74" xfId="0" applyFont="1" applyBorder="1" applyAlignment="1">
      <alignment horizontal="left" vertical="center" indent="1"/>
    </xf>
    <xf numFmtId="176" fontId="40" fillId="0" borderId="74" xfId="0" applyNumberFormat="1" applyFont="1" applyBorder="1" applyAlignment="1">
      <alignment horizontal="center"/>
    </xf>
    <xf numFmtId="10" fontId="14" fillId="0" borderId="74" xfId="54" applyNumberFormat="1" applyFont="1" applyFill="1" applyBorder="1" applyAlignment="1">
      <alignment horizontal="center"/>
    </xf>
    <xf numFmtId="178" fontId="14" fillId="0" borderId="74" xfId="47" applyNumberFormat="1" applyFont="1" applyFill="1" applyBorder="1" applyAlignment="1">
      <alignment/>
    </xf>
    <xf numFmtId="37" fontId="36" fillId="0" borderId="74" xfId="0" applyFont="1" applyBorder="1" applyAlignment="1" quotePrefix="1">
      <alignment horizontal="left" vertical="center" indent="1"/>
    </xf>
    <xf numFmtId="37" fontId="36" fillId="0" borderId="74" xfId="0" applyFont="1" applyFill="1" applyBorder="1" applyAlignment="1">
      <alignment horizontal="left" vertical="center" indent="1"/>
    </xf>
    <xf numFmtId="37" fontId="36" fillId="0" borderId="73" xfId="0" applyFont="1" applyBorder="1" applyAlignment="1">
      <alignment horizontal="left" vertical="center" indent="1"/>
    </xf>
    <xf numFmtId="37" fontId="11" fillId="11" borderId="74" xfId="0" applyFont="1" applyFill="1" applyBorder="1" applyAlignment="1">
      <alignment horizontal="left" vertical="center" indent="1"/>
    </xf>
    <xf numFmtId="37" fontId="31" fillId="11" borderId="74" xfId="0" applyFont="1" applyFill="1" applyBorder="1" applyAlignment="1">
      <alignment horizontal="left" vertical="center" indent="1"/>
    </xf>
    <xf numFmtId="37" fontId="34" fillId="0" borderId="0" xfId="0" applyFont="1" applyFill="1" applyBorder="1" applyAlignment="1">
      <alignment/>
    </xf>
    <xf numFmtId="9" fontId="9" fillId="0" borderId="0" xfId="54" applyFont="1" applyBorder="1" applyAlignment="1">
      <alignment/>
    </xf>
    <xf numFmtId="176" fontId="14" fillId="0" borderId="74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176" fontId="14" fillId="18" borderId="0" xfId="0" applyNumberFormat="1" applyFont="1" applyFill="1" applyAlignment="1">
      <alignment horizontal="center"/>
    </xf>
    <xf numFmtId="176" fontId="14" fillId="0" borderId="73" xfId="0" applyNumberFormat="1" applyFont="1" applyFill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0" fillId="0" borderId="0" xfId="0" applyNumberFormat="1" applyAlignment="1">
      <alignment/>
    </xf>
    <xf numFmtId="165" fontId="31" fillId="0" borderId="0" xfId="65" applyFont="1" applyBorder="1" applyAlignment="1">
      <alignment/>
    </xf>
    <xf numFmtId="39" fontId="0" fillId="0" borderId="0" xfId="0" applyNumberFormat="1" applyAlignment="1">
      <alignment/>
    </xf>
    <xf numFmtId="176" fontId="9" fillId="0" borderId="0" xfId="0" applyNumberFormat="1" applyFont="1" applyBorder="1" applyAlignment="1">
      <alignment/>
    </xf>
    <xf numFmtId="37" fontId="38" fillId="2" borderId="0" xfId="0" applyFont="1" applyFill="1" applyBorder="1" applyAlignment="1">
      <alignment vertical="center"/>
    </xf>
    <xf numFmtId="176" fontId="40" fillId="2" borderId="73" xfId="0" applyNumberFormat="1" applyFont="1" applyFill="1" applyBorder="1" applyAlignment="1">
      <alignment horizontal="center"/>
    </xf>
    <xf numFmtId="10" fontId="14" fillId="2" borderId="73" xfId="54" applyNumberFormat="1" applyFont="1" applyFill="1" applyBorder="1" applyAlignment="1">
      <alignment horizontal="center"/>
    </xf>
    <xf numFmtId="176" fontId="14" fillId="2" borderId="73" xfId="0" applyNumberFormat="1" applyFont="1" applyFill="1" applyBorder="1" applyAlignment="1">
      <alignment horizontal="center"/>
    </xf>
    <xf numFmtId="178" fontId="14" fillId="2" borderId="73" xfId="47" applyNumberFormat="1" applyFont="1" applyFill="1" applyBorder="1" applyAlignment="1">
      <alignment/>
    </xf>
    <xf numFmtId="183" fontId="40" fillId="0" borderId="0" xfId="0" applyNumberFormat="1" applyFont="1" applyAlignment="1">
      <alignment horizontal="center"/>
    </xf>
    <xf numFmtId="178" fontId="40" fillId="0" borderId="0" xfId="47" applyNumberFormat="1" applyFont="1" applyAlignment="1">
      <alignment horizontal="center"/>
    </xf>
    <xf numFmtId="165" fontId="30" fillId="0" borderId="17" xfId="65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7" fontId="0" fillId="0" borderId="21" xfId="0" applyFont="1" applyBorder="1" applyAlignment="1">
      <alignment horizontal="center" vertical="center"/>
    </xf>
    <xf numFmtId="37" fontId="34" fillId="5" borderId="65" xfId="0" applyFont="1" applyFill="1" applyBorder="1" applyAlignment="1">
      <alignment vertical="center"/>
    </xf>
    <xf numFmtId="169" fontId="13" fillId="5" borderId="32" xfId="65" applyNumberFormat="1" applyFont="1" applyFill="1" applyBorder="1" applyAlignment="1">
      <alignment horizontal="left" vertical="center"/>
    </xf>
    <xf numFmtId="39" fontId="30" fillId="0" borderId="22" xfId="0" applyNumberFormat="1" applyFont="1" applyFill="1" applyBorder="1" applyAlignment="1">
      <alignment vertical="center"/>
    </xf>
    <xf numFmtId="171" fontId="11" fillId="0" borderId="56" xfId="0" applyNumberFormat="1" applyFont="1" applyFill="1" applyBorder="1" applyAlignment="1">
      <alignment horizontal="right" vertical="center"/>
    </xf>
    <xf numFmtId="168" fontId="11" fillId="0" borderId="53" xfId="0" applyNumberFormat="1" applyFont="1" applyFill="1" applyBorder="1" applyAlignment="1">
      <alignment horizontal="right" vertical="center"/>
    </xf>
    <xf numFmtId="171" fontId="11" fillId="0" borderId="56" xfId="65" applyNumberFormat="1" applyFont="1" applyFill="1" applyBorder="1" applyAlignment="1">
      <alignment horizontal="right" vertical="center"/>
    </xf>
    <xf numFmtId="171" fontId="32" fillId="0" borderId="12" xfId="65" applyNumberFormat="1" applyFont="1" applyFill="1" applyBorder="1" applyAlignment="1">
      <alignment horizontal="center" vertical="center"/>
    </xf>
    <xf numFmtId="168" fontId="30" fillId="0" borderId="11" xfId="0" applyNumberFormat="1" applyFont="1" applyFill="1" applyBorder="1" applyAlignment="1">
      <alignment horizontal="right" vertical="center"/>
    </xf>
    <xf numFmtId="37" fontId="33" fillId="18" borderId="33" xfId="0" applyFont="1" applyFill="1" applyBorder="1" applyAlignment="1">
      <alignment horizontal="center" vertical="center" wrapText="1"/>
    </xf>
    <xf numFmtId="37" fontId="33" fillId="18" borderId="28" xfId="0" applyFont="1" applyFill="1" applyBorder="1" applyAlignment="1">
      <alignment horizontal="center" vertical="center" wrapText="1"/>
    </xf>
    <xf numFmtId="37" fontId="33" fillId="18" borderId="29" xfId="0" applyFont="1" applyFill="1" applyBorder="1" applyAlignment="1">
      <alignment horizontal="center" vertical="center" wrapText="1"/>
    </xf>
    <xf numFmtId="37" fontId="33" fillId="18" borderId="30" xfId="0" applyFont="1" applyFill="1" applyBorder="1" applyAlignment="1">
      <alignment horizontal="center" vertical="center" wrapText="1"/>
    </xf>
    <xf numFmtId="37" fontId="33" fillId="18" borderId="46" xfId="0" applyFont="1" applyFill="1" applyBorder="1" applyAlignment="1">
      <alignment horizontal="center" vertical="center" wrapText="1"/>
    </xf>
    <xf numFmtId="37" fontId="11" fillId="11" borderId="11" xfId="0" applyFont="1" applyFill="1" applyBorder="1" applyAlignment="1">
      <alignment horizontal="center" vertical="center"/>
    </xf>
    <xf numFmtId="37" fontId="11" fillId="11" borderId="41" xfId="0" applyFont="1" applyFill="1" applyBorder="1" applyAlignment="1">
      <alignment horizontal="center" vertical="center"/>
    </xf>
    <xf numFmtId="165" fontId="30" fillId="18" borderId="10" xfId="65" applyFont="1" applyFill="1" applyBorder="1" applyAlignment="1">
      <alignment horizontal="right" vertical="center"/>
    </xf>
    <xf numFmtId="4" fontId="30" fillId="18" borderId="20" xfId="0" applyNumberFormat="1" applyFont="1" applyFill="1" applyBorder="1" applyAlignment="1">
      <alignment horizontal="right" vertical="center"/>
    </xf>
    <xf numFmtId="37" fontId="30" fillId="18" borderId="21" xfId="0" applyFont="1" applyFill="1" applyBorder="1" applyAlignment="1">
      <alignment vertical="center"/>
    </xf>
    <xf numFmtId="39" fontId="30" fillId="18" borderId="21" xfId="0" applyNumberFormat="1" applyFont="1" applyFill="1" applyBorder="1" applyAlignment="1">
      <alignment vertical="center"/>
    </xf>
    <xf numFmtId="39" fontId="30" fillId="18" borderId="22" xfId="0" applyNumberFormat="1" applyFont="1" applyFill="1" applyBorder="1" applyAlignment="1">
      <alignment vertical="center"/>
    </xf>
    <xf numFmtId="37" fontId="30" fillId="18" borderId="58" xfId="0" applyFont="1" applyFill="1" applyBorder="1" applyAlignment="1">
      <alignment vertical="center"/>
    </xf>
    <xf numFmtId="37" fontId="30" fillId="18" borderId="18" xfId="0" applyFont="1" applyFill="1" applyBorder="1" applyAlignment="1">
      <alignment vertical="center"/>
    </xf>
    <xf numFmtId="9" fontId="34" fillId="0" borderId="0" xfId="54" applyFont="1" applyAlignment="1">
      <alignment/>
    </xf>
    <xf numFmtId="179" fontId="0" fillId="0" borderId="0" xfId="54" applyNumberFormat="1" applyFont="1" applyAlignment="1">
      <alignment/>
    </xf>
    <xf numFmtId="9" fontId="30" fillId="0" borderId="0" xfId="54" applyFont="1" applyBorder="1" applyAlignment="1">
      <alignment vertical="center"/>
    </xf>
    <xf numFmtId="165" fontId="30" fillId="18" borderId="11" xfId="65" applyFont="1" applyFill="1" applyBorder="1" applyAlignment="1">
      <alignment horizontal="right" vertical="center"/>
    </xf>
    <xf numFmtId="169" fontId="11" fillId="18" borderId="13" xfId="65" applyNumberFormat="1" applyFont="1" applyFill="1" applyBorder="1" applyAlignment="1">
      <alignment horizontal="right" vertical="center"/>
    </xf>
    <xf numFmtId="169" fontId="11" fillId="18" borderId="52" xfId="65" applyNumberFormat="1" applyFont="1" applyFill="1" applyBorder="1" applyAlignment="1">
      <alignment horizontal="right" vertical="center"/>
    </xf>
    <xf numFmtId="169" fontId="11" fillId="18" borderId="11" xfId="65" applyNumberFormat="1" applyFont="1" applyFill="1" applyBorder="1" applyAlignment="1">
      <alignment horizontal="right" vertical="center"/>
    </xf>
    <xf numFmtId="169" fontId="11" fillId="18" borderId="53" xfId="65" applyNumberFormat="1" applyFont="1" applyFill="1" applyBorder="1" applyAlignment="1">
      <alignment horizontal="right" vertical="center"/>
    </xf>
    <xf numFmtId="169" fontId="11" fillId="18" borderId="15" xfId="65" applyNumberFormat="1" applyFont="1" applyFill="1" applyBorder="1" applyAlignment="1">
      <alignment horizontal="right" vertical="center"/>
    </xf>
    <xf numFmtId="169" fontId="11" fillId="18" borderId="56" xfId="65" applyNumberFormat="1" applyFont="1" applyFill="1" applyBorder="1" applyAlignment="1">
      <alignment horizontal="right" vertical="center"/>
    </xf>
    <xf numFmtId="37" fontId="36" fillId="18" borderId="70" xfId="0" applyFont="1" applyFill="1" applyBorder="1" applyAlignment="1">
      <alignment horizontal="right" vertical="center" indent="1"/>
    </xf>
    <xf numFmtId="37" fontId="36" fillId="18" borderId="53" xfId="0" applyFont="1" applyFill="1" applyBorder="1" applyAlignment="1">
      <alignment horizontal="right" vertical="center" indent="1"/>
    </xf>
    <xf numFmtId="37" fontId="36" fillId="18" borderId="16" xfId="0" applyFont="1" applyFill="1" applyBorder="1" applyAlignment="1">
      <alignment horizontal="right" vertical="center" indent="1"/>
    </xf>
    <xf numFmtId="4" fontId="11" fillId="18" borderId="20" xfId="65" applyNumberFormat="1" applyFont="1" applyFill="1" applyBorder="1" applyAlignment="1">
      <alignment horizontal="right" vertical="center"/>
    </xf>
    <xf numFmtId="4" fontId="11" fillId="18" borderId="21" xfId="65" applyNumberFormat="1" applyFont="1" applyFill="1" applyBorder="1" applyAlignment="1">
      <alignment horizontal="right" vertical="center"/>
    </xf>
    <xf numFmtId="4" fontId="11" fillId="18" borderId="19" xfId="65" applyNumberFormat="1" applyFont="1" applyFill="1" applyBorder="1" applyAlignment="1">
      <alignment horizontal="right" vertical="center"/>
    </xf>
    <xf numFmtId="177" fontId="30" fillId="18" borderId="20" xfId="51" applyNumberFormat="1" applyFont="1" applyFill="1" applyBorder="1" applyAlignment="1">
      <alignment horizontal="right" vertical="center"/>
      <protection/>
    </xf>
    <xf numFmtId="171" fontId="30" fillId="18" borderId="0" xfId="65" applyNumberFormat="1" applyFont="1" applyFill="1" applyAlignment="1">
      <alignment horizontal="right" vertical="center"/>
    </xf>
    <xf numFmtId="176" fontId="30" fillId="18" borderId="0" xfId="51" applyNumberFormat="1" applyFont="1" applyFill="1">
      <alignment/>
      <protection/>
    </xf>
    <xf numFmtId="37" fontId="30" fillId="0" borderId="0" xfId="0" applyFont="1" applyBorder="1" applyAlignment="1">
      <alignment horizontal="center" vertical="center" wrapText="1"/>
    </xf>
    <xf numFmtId="37" fontId="38" fillId="0" borderId="0" xfId="0" applyFont="1" applyBorder="1" applyAlignment="1">
      <alignment horizontal="center" vertical="center"/>
    </xf>
    <xf numFmtId="39" fontId="30" fillId="4" borderId="0" xfId="0" applyNumberFormat="1" applyFont="1" applyFill="1" applyBorder="1" applyAlignment="1">
      <alignment vertical="center"/>
    </xf>
    <xf numFmtId="39" fontId="30" fillId="0" borderId="0" xfId="0" applyNumberFormat="1" applyFont="1" applyFill="1" applyBorder="1" applyAlignment="1">
      <alignment vertical="center"/>
    </xf>
    <xf numFmtId="37" fontId="38" fillId="0" borderId="72" xfId="0" applyFont="1" applyBorder="1" applyAlignment="1">
      <alignment horizontal="center" vertical="center"/>
    </xf>
    <xf numFmtId="39" fontId="30" fillId="11" borderId="0" xfId="0" applyNumberFormat="1" applyFont="1" applyFill="1" applyBorder="1" applyAlignment="1">
      <alignment vertical="center"/>
    </xf>
    <xf numFmtId="178" fontId="4" fillId="0" borderId="0" xfId="47" applyNumberFormat="1" applyFont="1" applyAlignment="1">
      <alignment/>
    </xf>
    <xf numFmtId="178" fontId="7" fillId="0" borderId="0" xfId="47" applyNumberFormat="1" applyFont="1" applyAlignment="1">
      <alignment/>
    </xf>
    <xf numFmtId="9" fontId="7" fillId="0" borderId="0" xfId="54" applyFont="1" applyAlignment="1">
      <alignment/>
    </xf>
    <xf numFmtId="180" fontId="41" fillId="0" borderId="72" xfId="54" applyNumberFormat="1" applyFont="1" applyBorder="1" applyAlignment="1">
      <alignment horizontal="center" vertical="center"/>
    </xf>
    <xf numFmtId="39" fontId="30" fillId="0" borderId="0" xfId="0" applyNumberFormat="1" applyFont="1" applyBorder="1" applyAlignment="1">
      <alignment vertical="center"/>
    </xf>
    <xf numFmtId="10" fontId="30" fillId="0" borderId="0" xfId="54" applyNumberFormat="1" applyFont="1" applyBorder="1" applyAlignment="1">
      <alignment vertical="center"/>
    </xf>
    <xf numFmtId="39" fontId="7" fillId="0" borderId="0" xfId="0" applyNumberFormat="1" applyFont="1" applyAlignment="1">
      <alignment/>
    </xf>
    <xf numFmtId="39" fontId="9" fillId="0" borderId="0" xfId="0" applyNumberFormat="1" applyFont="1" applyAlignment="1">
      <alignment/>
    </xf>
    <xf numFmtId="10" fontId="9" fillId="0" borderId="0" xfId="54" applyNumberFormat="1" applyFont="1" applyBorder="1" applyAlignment="1">
      <alignment/>
    </xf>
    <xf numFmtId="165" fontId="9" fillId="0" borderId="0" xfId="65" applyFont="1" applyBorder="1" applyAlignment="1">
      <alignment/>
    </xf>
    <xf numFmtId="10" fontId="30" fillId="0" borderId="0" xfId="54" applyNumberFormat="1" applyFont="1" applyFill="1" applyBorder="1" applyAlignment="1">
      <alignment vertical="center"/>
    </xf>
    <xf numFmtId="181" fontId="0" fillId="10" borderId="0" xfId="0" applyNumberFormat="1" applyFont="1" applyFill="1" applyBorder="1" applyAlignment="1">
      <alignment/>
    </xf>
    <xf numFmtId="37" fontId="32" fillId="0" borderId="25" xfId="0" applyFont="1" applyFill="1" applyBorder="1" applyAlignment="1">
      <alignment vertical="center"/>
    </xf>
    <xf numFmtId="169" fontId="11" fillId="18" borderId="26" xfId="65" applyNumberFormat="1" applyFont="1" applyFill="1" applyBorder="1" applyAlignment="1">
      <alignment horizontal="right" vertical="center"/>
    </xf>
    <xf numFmtId="37" fontId="32" fillId="0" borderId="10" xfId="0" applyFont="1" applyFill="1" applyBorder="1" applyAlignment="1">
      <alignment vertical="center"/>
    </xf>
    <xf numFmtId="37" fontId="32" fillId="0" borderId="14" xfId="0" applyFont="1" applyFill="1" applyBorder="1" applyAlignment="1">
      <alignment vertical="center"/>
    </xf>
    <xf numFmtId="9" fontId="11" fillId="18" borderId="26" xfId="54" applyFont="1" applyFill="1" applyBorder="1" applyAlignment="1">
      <alignment horizontal="right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horizontal="left"/>
    </xf>
    <xf numFmtId="184" fontId="0" fillId="0" borderId="0" xfId="0" applyNumberFormat="1" applyBorder="1" applyAlignment="1">
      <alignment/>
    </xf>
    <xf numFmtId="37" fontId="0" fillId="0" borderId="0" xfId="0" applyBorder="1" applyAlignment="1">
      <alignment horizontal="left" indent="1"/>
    </xf>
    <xf numFmtId="9" fontId="4" fillId="0" borderId="0" xfId="54" applyFont="1" applyBorder="1" applyAlignment="1">
      <alignment/>
    </xf>
    <xf numFmtId="182" fontId="4" fillId="0" borderId="0" xfId="0" applyNumberFormat="1" applyFont="1" applyBorder="1" applyAlignment="1">
      <alignment/>
    </xf>
    <xf numFmtId="37" fontId="7" fillId="0" borderId="0" xfId="0" applyFont="1" applyBorder="1" applyAlignment="1">
      <alignment/>
    </xf>
    <xf numFmtId="184" fontId="42" fillId="0" borderId="0" xfId="0" applyNumberFormat="1" applyFont="1" applyBorder="1" applyAlignment="1">
      <alignment/>
    </xf>
    <xf numFmtId="9" fontId="7" fillId="0" borderId="0" xfId="54" applyFont="1" applyBorder="1" applyAlignment="1">
      <alignment/>
    </xf>
    <xf numFmtId="37" fontId="7" fillId="0" borderId="75" xfId="0" applyFont="1" applyBorder="1" applyAlignment="1">
      <alignment/>
    </xf>
    <xf numFmtId="37" fontId="7" fillId="0" borderId="76" xfId="0" applyFont="1" applyBorder="1" applyAlignment="1">
      <alignment/>
    </xf>
    <xf numFmtId="181" fontId="0" fillId="19" borderId="0" xfId="0" applyNumberFormat="1" applyFont="1" applyFill="1" applyBorder="1" applyAlignment="1">
      <alignment/>
    </xf>
    <xf numFmtId="10" fontId="7" fillId="19" borderId="0" xfId="54" applyNumberFormat="1" applyFont="1" applyFill="1" applyAlignment="1">
      <alignment/>
    </xf>
    <xf numFmtId="9" fontId="30" fillId="0" borderId="0" xfId="54" applyFont="1" applyFill="1" applyBorder="1" applyAlignment="1">
      <alignment vertical="center" wrapText="1"/>
    </xf>
    <xf numFmtId="37" fontId="4" fillId="0" borderId="0" xfId="0" applyFont="1" applyFill="1" applyBorder="1" applyAlignment="1">
      <alignment wrapText="1"/>
    </xf>
    <xf numFmtId="37" fontId="30" fillId="0" borderId="0" xfId="51" applyFont="1" applyFill="1" applyBorder="1" applyAlignment="1">
      <alignment vertical="center" wrapText="1"/>
      <protection/>
    </xf>
    <xf numFmtId="169" fontId="11" fillId="18" borderId="27" xfId="65" applyNumberFormat="1" applyFont="1" applyFill="1" applyBorder="1" applyAlignment="1">
      <alignment horizontal="right" vertical="center"/>
    </xf>
    <xf numFmtId="169" fontId="11" fillId="18" borderId="21" xfId="65" applyNumberFormat="1" applyFont="1" applyFill="1" applyBorder="1" applyAlignment="1">
      <alignment horizontal="right" vertical="center"/>
    </xf>
    <xf numFmtId="169" fontId="11" fillId="18" borderId="19" xfId="65" applyNumberFormat="1" applyFont="1" applyFill="1" applyBorder="1" applyAlignment="1">
      <alignment horizontal="right" vertical="center"/>
    </xf>
    <xf numFmtId="39" fontId="30" fillId="0" borderId="77" xfId="0" applyNumberFormat="1" applyFont="1" applyFill="1" applyBorder="1" applyAlignment="1">
      <alignment horizontal="center" vertical="center"/>
    </xf>
    <xf numFmtId="39" fontId="30" fillId="0" borderId="78" xfId="0" applyNumberFormat="1" applyFont="1" applyFill="1" applyBorder="1" applyAlignment="1">
      <alignment horizontal="center" vertical="center"/>
    </xf>
    <xf numFmtId="37" fontId="0" fillId="18" borderId="79" xfId="0" applyFont="1" applyFill="1" applyBorder="1" applyAlignment="1">
      <alignment/>
    </xf>
    <xf numFmtId="37" fontId="0" fillId="18" borderId="80" xfId="0" applyFont="1" applyFill="1" applyBorder="1" applyAlignment="1">
      <alignment/>
    </xf>
    <xf numFmtId="37" fontId="0" fillId="18" borderId="81" xfId="0" applyFont="1" applyFill="1" applyBorder="1" applyAlignment="1">
      <alignment/>
    </xf>
    <xf numFmtId="37" fontId="0" fillId="18" borderId="82" xfId="0" applyFont="1" applyFill="1" applyBorder="1" applyAlignment="1">
      <alignment/>
    </xf>
    <xf numFmtId="9" fontId="11" fillId="18" borderId="27" xfId="54" applyFont="1" applyFill="1" applyBorder="1" applyAlignment="1">
      <alignment horizontal="right" vertical="center"/>
    </xf>
    <xf numFmtId="10" fontId="11" fillId="18" borderId="83" xfId="54" applyNumberFormat="1" applyFont="1" applyFill="1" applyBorder="1" applyAlignment="1">
      <alignment horizontal="right" vertical="center"/>
    </xf>
    <xf numFmtId="10" fontId="11" fillId="18" borderId="84" xfId="54" applyNumberFormat="1" applyFont="1" applyFill="1" applyBorder="1" applyAlignment="1">
      <alignment horizontal="right" vertical="center"/>
    </xf>
    <xf numFmtId="10" fontId="11" fillId="18" borderId="85" xfId="54" applyNumberFormat="1" applyFont="1" applyFill="1" applyBorder="1" applyAlignment="1">
      <alignment horizontal="right" vertical="center"/>
    </xf>
    <xf numFmtId="10" fontId="11" fillId="18" borderId="86" xfId="54" applyNumberFormat="1" applyFont="1" applyFill="1" applyBorder="1" applyAlignment="1">
      <alignment horizontal="right" vertical="center"/>
    </xf>
    <xf numFmtId="37" fontId="38" fillId="0" borderId="33" xfId="0" applyFont="1" applyBorder="1" applyAlignment="1">
      <alignment vertical="center"/>
    </xf>
    <xf numFmtId="37" fontId="38" fillId="11" borderId="0" xfId="0" applyFont="1" applyFill="1" applyBorder="1" applyAlignment="1">
      <alignment horizontal="center" vertical="center"/>
    </xf>
    <xf numFmtId="4" fontId="30" fillId="11" borderId="0" xfId="0" applyNumberFormat="1" applyFont="1" applyFill="1" applyBorder="1" applyAlignment="1">
      <alignment horizontal="right" vertical="center"/>
    </xf>
    <xf numFmtId="37" fontId="4" fillId="11" borderId="0" xfId="0" applyFont="1" applyFill="1" applyAlignment="1">
      <alignment/>
    </xf>
    <xf numFmtId="171" fontId="31" fillId="0" borderId="0" xfId="65" applyNumberFormat="1" applyFont="1" applyFill="1" applyBorder="1" applyAlignment="1">
      <alignment/>
    </xf>
    <xf numFmtId="39" fontId="30" fillId="0" borderId="21" xfId="0" applyNumberFormat="1" applyFont="1" applyFill="1" applyBorder="1" applyAlignment="1">
      <alignment vertical="center"/>
    </xf>
    <xf numFmtId="37" fontId="0" fillId="20" borderId="21" xfId="0" applyFont="1" applyFill="1" applyBorder="1" applyAlignment="1">
      <alignment horizontal="center" vertical="center"/>
    </xf>
    <xf numFmtId="37" fontId="31" fillId="0" borderId="0" xfId="0" applyFont="1" applyAlignment="1">
      <alignment/>
    </xf>
    <xf numFmtId="37" fontId="36" fillId="0" borderId="74" xfId="0" applyFont="1" applyBorder="1" applyAlignment="1" quotePrefix="1">
      <alignment horizontal="left" vertical="center" indent="1"/>
    </xf>
    <xf numFmtId="9" fontId="31" fillId="0" borderId="0" xfId="54" applyFont="1" applyAlignment="1">
      <alignment/>
    </xf>
    <xf numFmtId="37" fontId="36" fillId="0" borderId="74" xfId="0" applyFont="1" applyBorder="1" applyAlignment="1">
      <alignment horizontal="left" vertical="center" indent="1"/>
    </xf>
    <xf numFmtId="37" fontId="36" fillId="0" borderId="74" xfId="0" applyFont="1" applyFill="1" applyBorder="1" applyAlignment="1">
      <alignment horizontal="left" vertical="center" indent="1"/>
    </xf>
    <xf numFmtId="178" fontId="31" fillId="0" borderId="0" xfId="0" applyNumberFormat="1" applyFont="1" applyAlignment="1">
      <alignment/>
    </xf>
    <xf numFmtId="37" fontId="36" fillId="0" borderId="87" xfId="0" applyFont="1" applyBorder="1" applyAlignment="1">
      <alignment horizontal="left" vertical="center" indent="1"/>
    </xf>
    <xf numFmtId="178" fontId="31" fillId="0" borderId="0" xfId="0" applyNumberFormat="1" applyFont="1" applyBorder="1" applyAlignment="1">
      <alignment/>
    </xf>
    <xf numFmtId="9" fontId="31" fillId="0" borderId="0" xfId="0" applyNumberFormat="1" applyFont="1" applyBorder="1" applyAlignment="1">
      <alignment/>
    </xf>
    <xf numFmtId="37" fontId="11" fillId="11" borderId="25" xfId="0" applyFont="1" applyFill="1" applyBorder="1" applyAlignment="1">
      <alignment horizontal="center" vertical="center"/>
    </xf>
    <xf numFmtId="37" fontId="11" fillId="11" borderId="26" xfId="0" applyFont="1" applyFill="1" applyBorder="1" applyAlignment="1">
      <alignment horizontal="center" vertical="center"/>
    </xf>
    <xf numFmtId="37" fontId="11" fillId="11" borderId="27" xfId="0" applyFont="1" applyFill="1" applyBorder="1" applyAlignment="1">
      <alignment horizontal="center" vertical="center"/>
    </xf>
    <xf numFmtId="169" fontId="11" fillId="9" borderId="67" xfId="0" applyNumberFormat="1" applyFont="1" applyFill="1" applyBorder="1" applyAlignment="1">
      <alignment horizontal="center" vertical="center"/>
    </xf>
    <xf numFmtId="169" fontId="11" fillId="9" borderId="68" xfId="0" applyNumberFormat="1" applyFont="1" applyFill="1" applyBorder="1" applyAlignment="1">
      <alignment horizontal="center" vertical="center"/>
    </xf>
    <xf numFmtId="37" fontId="30" fillId="0" borderId="88" xfId="0" applyFont="1" applyFill="1" applyBorder="1" applyAlignment="1">
      <alignment horizontal="left" vertical="center"/>
    </xf>
    <xf numFmtId="37" fontId="30" fillId="0" borderId="61" xfId="0" applyFont="1" applyFill="1" applyBorder="1" applyAlignment="1">
      <alignment horizontal="left" vertical="center"/>
    </xf>
    <xf numFmtId="37" fontId="30" fillId="0" borderId="35" xfId="0" applyFont="1" applyFill="1" applyBorder="1" applyAlignment="1">
      <alignment horizontal="left" vertical="center"/>
    </xf>
    <xf numFmtId="37" fontId="30" fillId="0" borderId="54" xfId="0" applyFont="1" applyFill="1" applyBorder="1" applyAlignment="1">
      <alignment horizontal="left" vertical="center"/>
    </xf>
    <xf numFmtId="37" fontId="11" fillId="9" borderId="68" xfId="0" applyFont="1" applyFill="1" applyBorder="1" applyAlignment="1">
      <alignment horizontal="left" vertical="center"/>
    </xf>
    <xf numFmtId="37" fontId="11" fillId="9" borderId="69" xfId="0" applyFont="1" applyFill="1" applyBorder="1" applyAlignment="1">
      <alignment horizontal="left" vertical="center"/>
    </xf>
    <xf numFmtId="37" fontId="33" fillId="18" borderId="0" xfId="0" applyFont="1" applyFill="1" applyBorder="1" applyAlignment="1">
      <alignment horizontal="center" vertical="center" wrapText="1"/>
    </xf>
    <xf numFmtId="37" fontId="33" fillId="18" borderId="33" xfId="0" applyFont="1" applyFill="1" applyBorder="1" applyAlignment="1">
      <alignment horizontal="center" vertical="center" wrapText="1"/>
    </xf>
    <xf numFmtId="0" fontId="0" fillId="0" borderId="89" xfId="65" applyNumberFormat="1" applyFont="1" applyBorder="1" applyAlignment="1">
      <alignment horizontal="center" vertical="center" wrapText="1"/>
    </xf>
    <xf numFmtId="0" fontId="0" fillId="0" borderId="90" xfId="65" applyNumberFormat="1" applyFont="1" applyBorder="1" applyAlignment="1">
      <alignment horizontal="center" vertical="center" wrapText="1"/>
    </xf>
    <xf numFmtId="0" fontId="0" fillId="0" borderId="91" xfId="65" applyNumberFormat="1" applyFont="1" applyBorder="1" applyAlignment="1">
      <alignment horizontal="center" vertical="center" wrapText="1"/>
    </xf>
    <xf numFmtId="37" fontId="38" fillId="0" borderId="42" xfId="0" applyFont="1" applyBorder="1" applyAlignment="1">
      <alignment horizontal="center" vertical="center"/>
    </xf>
    <xf numFmtId="37" fontId="38" fillId="0" borderId="39" xfId="0" applyFont="1" applyBorder="1" applyAlignment="1">
      <alignment horizontal="center" vertical="center"/>
    </xf>
    <xf numFmtId="37" fontId="38" fillId="0" borderId="92" xfId="0" applyFont="1" applyBorder="1" applyAlignment="1">
      <alignment horizontal="center" vertical="center"/>
    </xf>
    <xf numFmtId="37" fontId="31" fillId="9" borderId="0" xfId="0" applyFont="1" applyFill="1" applyAlignment="1">
      <alignment horizontal="center" vertical="center"/>
    </xf>
    <xf numFmtId="37" fontId="30" fillId="11" borderId="0" xfId="0" applyFont="1" applyFill="1" applyBorder="1" applyAlignment="1">
      <alignment horizontal="center" vertical="center"/>
    </xf>
    <xf numFmtId="39" fontId="31" fillId="0" borderId="33" xfId="0" applyNumberFormat="1" applyFont="1" applyFill="1" applyBorder="1" applyAlignment="1">
      <alignment horizontal="center" vertical="center"/>
    </xf>
    <xf numFmtId="39" fontId="31" fillId="0" borderId="47" xfId="0" applyNumberFormat="1" applyFont="1" applyFill="1" applyBorder="1" applyAlignment="1">
      <alignment horizontal="center" vertical="center"/>
    </xf>
    <xf numFmtId="37" fontId="11" fillId="11" borderId="70" xfId="0" applyFont="1" applyFill="1" applyBorder="1" applyAlignment="1">
      <alignment horizontal="center" vertical="center"/>
    </xf>
    <xf numFmtId="37" fontId="0" fillId="0" borderId="89" xfId="0" applyFont="1" applyBorder="1" applyAlignment="1">
      <alignment horizontal="center" vertical="center" wrapText="1"/>
    </xf>
    <xf numFmtId="37" fontId="0" fillId="0" borderId="90" xfId="0" applyFont="1" applyBorder="1" applyAlignment="1">
      <alignment horizontal="center" vertical="center" wrapText="1"/>
    </xf>
    <xf numFmtId="37" fontId="0" fillId="0" borderId="91" xfId="0" applyFont="1" applyBorder="1" applyAlignment="1">
      <alignment horizontal="center" vertical="center" wrapText="1"/>
    </xf>
    <xf numFmtId="165" fontId="30" fillId="0" borderId="35" xfId="65" applyFont="1" applyFill="1" applyBorder="1" applyAlignment="1">
      <alignment horizontal="left" vertical="center"/>
    </xf>
    <xf numFmtId="165" fontId="30" fillId="0" borderId="54" xfId="65" applyFont="1" applyFill="1" applyBorder="1" applyAlignment="1">
      <alignment horizontal="left" vertical="center"/>
    </xf>
    <xf numFmtId="37" fontId="43" fillId="0" borderId="48" xfId="0" applyNumberFormat="1" applyFont="1" applyBorder="1" applyAlignment="1">
      <alignment horizontal="center"/>
    </xf>
    <xf numFmtId="37" fontId="43" fillId="0" borderId="93" xfId="0" applyNumberFormat="1" applyFont="1" applyBorder="1" applyAlignment="1">
      <alignment horizontal="center"/>
    </xf>
    <xf numFmtId="37" fontId="38" fillId="0" borderId="33" xfId="0" applyFont="1" applyBorder="1" applyAlignment="1">
      <alignment horizontal="center" vertical="center"/>
    </xf>
    <xf numFmtId="37" fontId="30" fillId="0" borderId="0" xfId="51" applyFont="1" applyAlignment="1">
      <alignment horizontal="center" vertical="center"/>
      <protection/>
    </xf>
    <xf numFmtId="37" fontId="30" fillId="0" borderId="68" xfId="51" applyFont="1" applyBorder="1" applyAlignment="1">
      <alignment horizontal="center" vertical="center"/>
      <protection/>
    </xf>
    <xf numFmtId="37" fontId="33" fillId="0" borderId="33" xfId="0" applyFont="1" applyBorder="1" applyAlignment="1">
      <alignment horizontal="center" vertical="center" wrapText="1"/>
    </xf>
    <xf numFmtId="37" fontId="33" fillId="0" borderId="47" xfId="0" applyFont="1" applyBorder="1" applyAlignment="1">
      <alignment horizontal="center" vertical="center" wrapText="1"/>
    </xf>
    <xf numFmtId="37" fontId="11" fillId="0" borderId="0" xfId="0" applyFont="1" applyFill="1" applyBorder="1" applyAlignment="1">
      <alignment horizontal="center" vertical="center"/>
    </xf>
    <xf numFmtId="37" fontId="38" fillId="0" borderId="57" xfId="51" applyFont="1" applyBorder="1" applyAlignment="1">
      <alignment horizontal="center" vertical="center" wrapText="1"/>
      <protection/>
    </xf>
    <xf numFmtId="37" fontId="38" fillId="0" borderId="33" xfId="51" applyFont="1" applyBorder="1" applyAlignment="1">
      <alignment horizontal="center" vertical="center" wrapText="1"/>
      <protection/>
    </xf>
    <xf numFmtId="37" fontId="30" fillId="0" borderId="33" xfId="51" applyFont="1" applyBorder="1" applyAlignment="1">
      <alignment horizontal="center" vertical="center"/>
      <protection/>
    </xf>
    <xf numFmtId="177" fontId="30" fillId="18" borderId="0" xfId="51" applyNumberFormat="1" applyFont="1" applyFill="1" applyBorder="1" applyAlignment="1">
      <alignment horizontal="center" vertical="center" wrapText="1"/>
      <protection/>
    </xf>
    <xf numFmtId="177" fontId="30" fillId="18" borderId="0" xfId="0" applyNumberFormat="1" applyFont="1" applyFill="1" applyBorder="1" applyAlignment="1">
      <alignment horizontal="center" vertical="center" wrapText="1"/>
    </xf>
    <xf numFmtId="177" fontId="30" fillId="18" borderId="34" xfId="0" applyNumberFormat="1" applyFont="1" applyFill="1" applyBorder="1" applyAlignment="1">
      <alignment horizontal="center" vertical="center" wrapText="1"/>
    </xf>
    <xf numFmtId="37" fontId="7" fillId="0" borderId="0" xfId="0" applyFont="1" applyAlignment="1">
      <alignment horizontal="center"/>
    </xf>
    <xf numFmtId="37" fontId="7" fillId="18" borderId="94" xfId="0" applyFont="1" applyFill="1" applyBorder="1" applyAlignment="1">
      <alignment horizontal="center" vertical="center" wrapText="1"/>
    </xf>
    <xf numFmtId="37" fontId="7" fillId="18" borderId="95" xfId="0" applyFont="1" applyFill="1" applyBorder="1" applyAlignment="1">
      <alignment horizontal="center" vertical="center" wrapText="1"/>
    </xf>
    <xf numFmtId="37" fontId="7" fillId="18" borderId="96" xfId="0" applyFont="1" applyFill="1" applyBorder="1" applyAlignment="1">
      <alignment horizontal="center" vertical="center" wrapText="1"/>
    </xf>
    <xf numFmtId="37" fontId="7" fillId="18" borderId="97" xfId="0" applyFont="1" applyFill="1" applyBorder="1" applyAlignment="1">
      <alignment horizontal="center" vertical="center" wrapText="1"/>
    </xf>
    <xf numFmtId="37" fontId="31" fillId="7" borderId="55" xfId="0" applyFont="1" applyFill="1" applyBorder="1" applyAlignment="1">
      <alignment vertical="center"/>
    </xf>
    <xf numFmtId="3" fontId="31" fillId="0" borderId="41" xfId="65" applyNumberFormat="1" applyFont="1" applyFill="1" applyBorder="1" applyAlignment="1">
      <alignment horizontal="right" vertical="center" indent="1"/>
    </xf>
    <xf numFmtId="3" fontId="31" fillId="0" borderId="18" xfId="65" applyNumberFormat="1" applyFont="1" applyFill="1" applyBorder="1" applyAlignment="1">
      <alignment horizontal="right" vertical="center" indent="1"/>
    </xf>
    <xf numFmtId="3" fontId="31" fillId="0" borderId="67" xfId="65" applyNumberFormat="1" applyFont="1" applyFill="1" applyBorder="1" applyAlignment="1">
      <alignment horizontal="right" vertical="center"/>
    </xf>
    <xf numFmtId="3" fontId="31" fillId="0" borderId="68" xfId="65" applyNumberFormat="1" applyFont="1" applyFill="1" applyBorder="1" applyAlignment="1">
      <alignment horizontal="right" vertical="center"/>
    </xf>
    <xf numFmtId="37" fontId="31" fillId="4" borderId="24" xfId="0" applyFont="1" applyFill="1" applyBorder="1" applyAlignment="1">
      <alignment horizontal="center" vertical="center"/>
    </xf>
    <xf numFmtId="37" fontId="31" fillId="4" borderId="26" xfId="0" applyFont="1" applyFill="1" applyBorder="1" applyAlignment="1">
      <alignment horizontal="center" vertical="center"/>
    </xf>
    <xf numFmtId="37" fontId="31" fillId="4" borderId="27" xfId="0" applyFont="1" applyFill="1" applyBorder="1" applyAlignment="1">
      <alignment horizontal="center" vertical="center"/>
    </xf>
    <xf numFmtId="9" fontId="31" fillId="0" borderId="41" xfId="54" applyFont="1" applyFill="1" applyBorder="1" applyAlignment="1">
      <alignment horizontal="center" vertical="center"/>
    </xf>
    <xf numFmtId="9" fontId="31" fillId="0" borderId="35" xfId="54" applyFont="1" applyFill="1" applyBorder="1" applyAlignment="1">
      <alignment horizontal="center" vertical="center"/>
    </xf>
    <xf numFmtId="168" fontId="44" fillId="7" borderId="98" xfId="47" applyNumberFormat="1" applyFont="1" applyFill="1" applyBorder="1" applyAlignment="1">
      <alignment horizontal="center" vertical="center"/>
    </xf>
    <xf numFmtId="168" fontId="44" fillId="7" borderId="99" xfId="47" applyNumberFormat="1" applyFont="1" applyFill="1" applyBorder="1" applyAlignment="1">
      <alignment horizontal="center" vertical="center"/>
    </xf>
    <xf numFmtId="170" fontId="34" fillId="4" borderId="67" xfId="0" applyNumberFormat="1" applyFont="1" applyFill="1" applyBorder="1" applyAlignment="1">
      <alignment horizontal="center" vertical="center"/>
    </xf>
    <xf numFmtId="170" fontId="34" fillId="4" borderId="68" xfId="0" applyNumberFormat="1" applyFont="1" applyFill="1" applyBorder="1" applyAlignment="1">
      <alignment horizontal="center" vertical="center"/>
    </xf>
    <xf numFmtId="170" fontId="34" fillId="4" borderId="69" xfId="0" applyNumberFormat="1" applyFont="1" applyFill="1" applyBorder="1" applyAlignment="1">
      <alignment horizontal="center" vertical="center"/>
    </xf>
    <xf numFmtId="168" fontId="40" fillId="4" borderId="67" xfId="0" applyNumberFormat="1" applyFont="1" applyFill="1" applyBorder="1" applyAlignment="1">
      <alignment horizontal="center" vertical="center"/>
    </xf>
    <xf numFmtId="168" fontId="40" fillId="4" borderId="68" xfId="0" applyNumberFormat="1" applyFont="1" applyFill="1" applyBorder="1" applyAlignment="1">
      <alignment horizontal="center" vertical="center"/>
    </xf>
    <xf numFmtId="170" fontId="34" fillId="4" borderId="66" xfId="0" applyNumberFormat="1" applyFont="1" applyFill="1" applyBorder="1" applyAlignment="1">
      <alignment horizontal="center" vertical="center"/>
    </xf>
    <xf numFmtId="170" fontId="34" fillId="4" borderId="88" xfId="0" applyNumberFormat="1" applyFont="1" applyFill="1" applyBorder="1" applyAlignment="1">
      <alignment horizontal="center" vertical="center"/>
    </xf>
    <xf numFmtId="170" fontId="34" fillId="4" borderId="61" xfId="0" applyNumberFormat="1" applyFont="1" applyFill="1" applyBorder="1" applyAlignment="1">
      <alignment horizontal="center" vertical="center"/>
    </xf>
    <xf numFmtId="168" fontId="40" fillId="4" borderId="66" xfId="0" applyNumberFormat="1" applyFont="1" applyFill="1" applyBorder="1" applyAlignment="1">
      <alignment horizontal="center" vertical="center"/>
    </xf>
    <xf numFmtId="168" fontId="40" fillId="4" borderId="88" xfId="0" applyNumberFormat="1" applyFont="1" applyFill="1" applyBorder="1" applyAlignment="1">
      <alignment horizontal="center" vertical="center"/>
    </xf>
    <xf numFmtId="37" fontId="31" fillId="4" borderId="88" xfId="0" applyFont="1" applyFill="1" applyBorder="1" applyAlignment="1">
      <alignment horizontal="left" vertical="center" indent="1"/>
    </xf>
    <xf numFmtId="37" fontId="31" fillId="4" borderId="57" xfId="0" applyFont="1" applyFill="1" applyBorder="1" applyAlignment="1">
      <alignment horizontal="left" vertical="center" indent="1"/>
    </xf>
    <xf numFmtId="37" fontId="31" fillId="4" borderId="25" xfId="0" applyFont="1" applyFill="1" applyBorder="1" applyAlignment="1">
      <alignment horizontal="center" vertical="center"/>
    </xf>
    <xf numFmtId="37" fontId="11" fillId="11" borderId="66" xfId="0" applyFont="1" applyFill="1" applyBorder="1" applyAlignment="1">
      <alignment vertical="center"/>
    </xf>
    <xf numFmtId="37" fontId="11" fillId="11" borderId="88" xfId="0" applyFont="1" applyFill="1" applyBorder="1" applyAlignment="1">
      <alignment vertical="center"/>
    </xf>
    <xf numFmtId="37" fontId="11" fillId="11" borderId="61" xfId="0" applyFont="1" applyFill="1" applyBorder="1" applyAlignment="1">
      <alignment vertical="center"/>
    </xf>
    <xf numFmtId="37" fontId="31" fillId="4" borderId="70" xfId="0" applyFont="1" applyFill="1" applyBorder="1" applyAlignment="1">
      <alignment horizontal="center" vertical="center"/>
    </xf>
    <xf numFmtId="37" fontId="31" fillId="0" borderId="11" xfId="0" applyFont="1" applyFill="1" applyBorder="1" applyAlignment="1">
      <alignment horizontal="center" vertical="center"/>
    </xf>
    <xf numFmtId="37" fontId="31" fillId="0" borderId="21" xfId="0" applyFont="1" applyFill="1" applyBorder="1" applyAlignment="1">
      <alignment horizontal="center" vertical="center"/>
    </xf>
    <xf numFmtId="3" fontId="31" fillId="0" borderId="21" xfId="65" applyNumberFormat="1" applyFont="1" applyFill="1" applyBorder="1" applyAlignment="1">
      <alignment horizontal="right" vertical="center" indent="1"/>
    </xf>
    <xf numFmtId="3" fontId="31" fillId="0" borderId="41" xfId="65" applyNumberFormat="1" applyFont="1" applyFill="1" applyBorder="1" applyAlignment="1">
      <alignment horizontal="right" vertical="center"/>
    </xf>
    <xf numFmtId="3" fontId="31" fillId="0" borderId="35" xfId="65" applyNumberFormat="1" applyFont="1" applyFill="1" applyBorder="1" applyAlignment="1">
      <alignment horizontal="right" vertical="center"/>
    </xf>
    <xf numFmtId="3" fontId="31" fillId="0" borderId="10" xfId="65" applyNumberFormat="1" applyFont="1" applyFill="1" applyBorder="1" applyAlignment="1">
      <alignment horizontal="center" vertical="center"/>
    </xf>
    <xf numFmtId="3" fontId="31" fillId="0" borderId="21" xfId="65" applyNumberFormat="1" applyFont="1" applyFill="1" applyBorder="1" applyAlignment="1">
      <alignment horizontal="center" vertical="center"/>
    </xf>
    <xf numFmtId="3" fontId="31" fillId="0" borderId="11" xfId="65" applyNumberFormat="1" applyFont="1" applyFill="1" applyBorder="1" applyAlignment="1">
      <alignment horizontal="right" vertical="center" indent="3" shrinkToFit="1"/>
    </xf>
    <xf numFmtId="37" fontId="35" fillId="0" borderId="0" xfId="0" applyFont="1" applyBorder="1" applyAlignment="1">
      <alignment horizontal="center" vertical="center"/>
    </xf>
    <xf numFmtId="37" fontId="11" fillId="0" borderId="68" xfId="0" applyFont="1" applyFill="1" applyBorder="1" applyAlignment="1">
      <alignment horizontal="left" vertical="center" indent="1"/>
    </xf>
    <xf numFmtId="37" fontId="11" fillId="0" borderId="69" xfId="0" applyFont="1" applyFill="1" applyBorder="1" applyAlignment="1">
      <alignment horizontal="left" vertical="center" indent="1"/>
    </xf>
    <xf numFmtId="3" fontId="31" fillId="0" borderId="18" xfId="65" applyNumberFormat="1" applyFont="1" applyFill="1" applyBorder="1" applyAlignment="1">
      <alignment horizontal="right" vertical="center" indent="3" shrinkToFit="1"/>
    </xf>
    <xf numFmtId="37" fontId="31" fillId="0" borderId="10" xfId="0" applyFont="1" applyFill="1" applyBorder="1" applyAlignment="1">
      <alignment horizontal="center" vertical="center"/>
    </xf>
    <xf numFmtId="37" fontId="38" fillId="4" borderId="25" xfId="0" applyFont="1" applyFill="1" applyBorder="1" applyAlignment="1">
      <alignment horizontal="center" vertical="center"/>
    </xf>
    <xf numFmtId="37" fontId="38" fillId="4" borderId="27" xfId="0" applyFont="1" applyFill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4" borderId="24" xfId="0" applyFont="1" applyFill="1" applyBorder="1" applyAlignment="1">
      <alignment horizontal="center" vertical="center"/>
    </xf>
    <xf numFmtId="37" fontId="38" fillId="4" borderId="26" xfId="0" applyFont="1" applyFill="1" applyBorder="1" applyAlignment="1">
      <alignment horizontal="center" vertical="center"/>
    </xf>
    <xf numFmtId="3" fontId="31" fillId="0" borderId="21" xfId="65" applyNumberFormat="1" applyFont="1" applyFill="1" applyBorder="1" applyAlignment="1">
      <alignment horizontal="right" vertical="center" indent="3" shrinkToFit="1"/>
    </xf>
    <xf numFmtId="37" fontId="31" fillId="0" borderId="18" xfId="0" applyFont="1" applyFill="1" applyBorder="1" applyAlignment="1">
      <alignment horizontal="center" vertical="center"/>
    </xf>
    <xf numFmtId="37" fontId="46" fillId="0" borderId="0" xfId="0" applyFont="1" applyAlignment="1">
      <alignment/>
    </xf>
    <xf numFmtId="9" fontId="31" fillId="0" borderId="0" xfId="54" applyFont="1" applyAlignment="1">
      <alignment/>
    </xf>
    <xf numFmtId="10" fontId="9" fillId="0" borderId="0" xfId="54" applyNumberFormat="1" applyFont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asta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37</xdr:row>
      <xdr:rowOff>104775</xdr:rowOff>
    </xdr:from>
    <xdr:to>
      <xdr:col>8</xdr:col>
      <xdr:colOff>314325</xdr:colOff>
      <xdr:row>39</xdr:row>
      <xdr:rowOff>47625</xdr:rowOff>
    </xdr:to>
    <xdr:sp>
      <xdr:nvSpPr>
        <xdr:cNvPr id="1" name="Seta para a direita 1"/>
        <xdr:cNvSpPr>
          <a:spLocks/>
        </xdr:cNvSpPr>
      </xdr:nvSpPr>
      <xdr:spPr>
        <a:xfrm>
          <a:off x="4543425" y="6286500"/>
          <a:ext cx="1485900" cy="247650"/>
        </a:xfrm>
        <a:prstGeom prst="rightArrow">
          <a:avLst>
            <a:gd name="adj" fmla="val 41666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190500</xdr:colOff>
      <xdr:row>16</xdr:row>
      <xdr:rowOff>9525</xdr:rowOff>
    </xdr:from>
    <xdr:to>
      <xdr:col>14</xdr:col>
      <xdr:colOff>1114425</xdr:colOff>
      <xdr:row>17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10144125" y="2724150"/>
          <a:ext cx="1352550" cy="323850"/>
        </a:xfrm>
        <a:prstGeom prst="rightArrow">
          <a:avLst>
            <a:gd name="adj" fmla="val 375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104775</xdr:rowOff>
    </xdr:from>
    <xdr:to>
      <xdr:col>17</xdr:col>
      <xdr:colOff>1638300</xdr:colOff>
      <xdr:row>7</xdr:row>
      <xdr:rowOff>95250</xdr:rowOff>
    </xdr:to>
    <xdr:sp>
      <xdr:nvSpPr>
        <xdr:cNvPr id="3" name="Seta para a direita 3"/>
        <xdr:cNvSpPr>
          <a:spLocks/>
        </xdr:cNvSpPr>
      </xdr:nvSpPr>
      <xdr:spPr>
        <a:xfrm>
          <a:off x="13039725" y="933450"/>
          <a:ext cx="1895475" cy="333375"/>
        </a:xfrm>
        <a:prstGeom prst="rightArrow">
          <a:avLst>
            <a:gd name="adj" fmla="val 41046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"/>
  <sheetViews>
    <sheetView showGridLines="0" zoomScalePageLayoutView="0" workbookViewId="0" topLeftCell="A10">
      <selection activeCell="C26" sqref="B12:C26"/>
    </sheetView>
  </sheetViews>
  <sheetFormatPr defaultColWidth="8.875" defaultRowHeight="12.75"/>
  <cols>
    <col min="1" max="1" width="2.625" style="9" customWidth="1"/>
    <col min="2" max="2" width="10.625" style="9" customWidth="1"/>
    <col min="3" max="3" width="14.00390625" style="9" customWidth="1"/>
    <col min="4" max="6" width="8.625" style="9" customWidth="1"/>
    <col min="7" max="7" width="9.625" style="9" customWidth="1"/>
    <col min="8" max="11" width="8.625" style="9" customWidth="1"/>
    <col min="12" max="12" width="3.625" style="9" customWidth="1"/>
    <col min="13" max="13" width="2.625" style="9" customWidth="1"/>
    <col min="14" max="14" width="15.625" style="9" customWidth="1"/>
    <col min="15" max="15" width="8.625" style="9" customWidth="1"/>
    <col min="16" max="16" width="2.625" style="9" customWidth="1"/>
    <col min="17" max="17" width="15.625" style="9" customWidth="1"/>
    <col min="18" max="18" width="8.625" style="9" customWidth="1"/>
    <col min="19" max="19" width="2.625" style="9" customWidth="1"/>
    <col min="20" max="23" width="8.875" style="9" customWidth="1"/>
    <col min="24" max="16384" width="8.875" style="9" customWidth="1"/>
  </cols>
  <sheetData>
    <row r="1" ht="13.5" customHeight="1"/>
    <row r="2" spans="2:19" ht="13.5" customHeight="1">
      <c r="B2" s="445" t="s">
        <v>119</v>
      </c>
      <c r="C2" s="445"/>
      <c r="D2" s="445"/>
      <c r="E2" s="445"/>
      <c r="F2" s="445"/>
      <c r="G2" s="445"/>
      <c r="H2" s="445"/>
      <c r="I2" s="445"/>
      <c r="J2" s="445"/>
      <c r="K2" s="445"/>
      <c r="M2" s="442" t="s">
        <v>153</v>
      </c>
      <c r="N2" s="443"/>
      <c r="O2" s="443"/>
      <c r="P2" s="443"/>
      <c r="Q2" s="443"/>
      <c r="R2" s="443"/>
      <c r="S2" s="444"/>
    </row>
    <row r="3" spans="4:19" ht="13.5" customHeight="1">
      <c r="D3" s="426" t="s">
        <v>34</v>
      </c>
      <c r="E3" s="427"/>
      <c r="F3" s="427"/>
      <c r="G3" s="449"/>
      <c r="H3" s="426" t="s">
        <v>35</v>
      </c>
      <c r="I3" s="427"/>
      <c r="J3" s="427"/>
      <c r="K3" s="428"/>
      <c r="M3" s="93"/>
      <c r="N3" s="11"/>
      <c r="O3" s="11"/>
      <c r="P3" s="11"/>
      <c r="Q3" s="11"/>
      <c r="R3" s="11"/>
      <c r="S3" s="94"/>
    </row>
    <row r="4" spans="1:19" ht="13.5" customHeight="1">
      <c r="A4" s="11"/>
      <c r="B4" s="447"/>
      <c r="C4" s="448"/>
      <c r="D4" s="34" t="s">
        <v>25</v>
      </c>
      <c r="E4" s="23" t="s">
        <v>32</v>
      </c>
      <c r="F4" s="23" t="s">
        <v>33</v>
      </c>
      <c r="G4" s="24" t="s">
        <v>26</v>
      </c>
      <c r="H4" s="22" t="s">
        <v>25</v>
      </c>
      <c r="I4" s="23" t="s">
        <v>32</v>
      </c>
      <c r="J4" s="23" t="s">
        <v>33</v>
      </c>
      <c r="K4" s="28" t="s">
        <v>26</v>
      </c>
      <c r="L4" s="32"/>
      <c r="M4" s="93"/>
      <c r="N4" s="241" t="s">
        <v>53</v>
      </c>
      <c r="O4" s="242"/>
      <c r="P4" s="84"/>
      <c r="Q4" s="241" t="s">
        <v>54</v>
      </c>
      <c r="R4" s="242"/>
      <c r="S4" s="94"/>
    </row>
    <row r="5" spans="1:20" s="10" customFormat="1" ht="13.5" customHeight="1">
      <c r="A5" s="27"/>
      <c r="B5" s="38" t="s">
        <v>29</v>
      </c>
      <c r="C5" s="348">
        <f>H25</f>
        <v>248</v>
      </c>
      <c r="D5" s="20">
        <v>0</v>
      </c>
      <c r="E5" s="342">
        <v>7235</v>
      </c>
      <c r="F5" s="342">
        <v>37022</v>
      </c>
      <c r="G5" s="343">
        <v>3584</v>
      </c>
      <c r="H5" s="20">
        <f aca="true" t="shared" si="0" ref="H5:K7">D5*$C5</f>
        <v>0</v>
      </c>
      <c r="I5" s="21">
        <f t="shared" si="0"/>
        <v>1794280</v>
      </c>
      <c r="J5" s="21">
        <f t="shared" si="0"/>
        <v>9181456</v>
      </c>
      <c r="K5" s="29">
        <f t="shared" si="0"/>
        <v>888832</v>
      </c>
      <c r="L5" s="33"/>
      <c r="M5" s="93"/>
      <c r="N5" s="245" t="s">
        <v>13</v>
      </c>
      <c r="O5" s="351">
        <f>(O28*I45)+O28</f>
        <v>2836.707657446318</v>
      </c>
      <c r="P5" s="82"/>
      <c r="Q5" s="245" t="s">
        <v>13</v>
      </c>
      <c r="R5" s="351">
        <f>(R28*J45)+R28</f>
        <v>2613.40608311186</v>
      </c>
      <c r="S5" s="94"/>
      <c r="T5" s="374" t="s">
        <v>156</v>
      </c>
    </row>
    <row r="6" spans="1:19" ht="13.5" customHeight="1">
      <c r="A6" s="11"/>
      <c r="B6" s="39" t="s">
        <v>30</v>
      </c>
      <c r="C6" s="349">
        <f>I25</f>
        <v>52</v>
      </c>
      <c r="D6" s="18">
        <v>0</v>
      </c>
      <c r="E6" s="344">
        <v>8017</v>
      </c>
      <c r="F6" s="344">
        <v>28856</v>
      </c>
      <c r="G6" s="345">
        <v>2930</v>
      </c>
      <c r="H6" s="20">
        <f t="shared" si="0"/>
        <v>0</v>
      </c>
      <c r="I6" s="19">
        <f t="shared" si="0"/>
        <v>416884</v>
      </c>
      <c r="J6" s="19">
        <f t="shared" si="0"/>
        <v>1500512</v>
      </c>
      <c r="K6" s="30">
        <f t="shared" si="0"/>
        <v>152360</v>
      </c>
      <c r="L6" s="32"/>
      <c r="M6" s="93"/>
      <c r="N6" s="136" t="s">
        <v>14</v>
      </c>
      <c r="O6" s="351">
        <f>(O29*I46)+O29</f>
        <v>2295.861007803041</v>
      </c>
      <c r="P6" s="82"/>
      <c r="Q6" s="136" t="s">
        <v>14</v>
      </c>
      <c r="R6" s="351">
        <f>(R29*J46)+R29</f>
        <v>1962.2612212687363</v>
      </c>
      <c r="S6" s="94"/>
    </row>
    <row r="7" spans="1:19" ht="13.5" customHeight="1">
      <c r="A7" s="11"/>
      <c r="B7" s="40" t="s">
        <v>31</v>
      </c>
      <c r="C7" s="350">
        <f>J25</f>
        <v>65</v>
      </c>
      <c r="D7" s="37">
        <v>0</v>
      </c>
      <c r="E7" s="346">
        <v>7981</v>
      </c>
      <c r="F7" s="346">
        <v>19884</v>
      </c>
      <c r="G7" s="347">
        <v>2563</v>
      </c>
      <c r="H7" s="20">
        <f t="shared" si="0"/>
        <v>0</v>
      </c>
      <c r="I7" s="25">
        <f t="shared" si="0"/>
        <v>518765</v>
      </c>
      <c r="J7" s="25">
        <f t="shared" si="0"/>
        <v>1292460</v>
      </c>
      <c r="K7" s="31">
        <f t="shared" si="0"/>
        <v>166595</v>
      </c>
      <c r="L7" s="32"/>
      <c r="M7" s="93"/>
      <c r="N7" s="246" t="s">
        <v>15</v>
      </c>
      <c r="O7" s="351">
        <f>(O30*I47)+O30</f>
        <v>1762.4181731912242</v>
      </c>
      <c r="P7" s="82"/>
      <c r="Q7" s="246" t="s">
        <v>15</v>
      </c>
      <c r="R7" s="351">
        <f>(R30*J47)+R30</f>
        <v>1452.1799812892593</v>
      </c>
      <c r="S7" s="94"/>
    </row>
    <row r="8" spans="1:19" ht="13.5" customHeight="1">
      <c r="A8" s="11"/>
      <c r="C8" s="35"/>
      <c r="D8" s="36"/>
      <c r="E8" s="374" t="s">
        <v>156</v>
      </c>
      <c r="F8" s="431" t="s">
        <v>22</v>
      </c>
      <c r="G8" s="432"/>
      <c r="H8" s="41">
        <f>SUM(H5:H7)</f>
        <v>0</v>
      </c>
      <c r="I8" s="42">
        <f>SUM(I5:I7)</f>
        <v>2729929</v>
      </c>
      <c r="J8" s="42">
        <f>SUM(J5:J7)</f>
        <v>11974428</v>
      </c>
      <c r="K8" s="43">
        <f>SUM(K5:K7)</f>
        <v>1207787</v>
      </c>
      <c r="L8" s="32"/>
      <c r="M8" s="93"/>
      <c r="N8" s="135" t="s">
        <v>16</v>
      </c>
      <c r="O8" s="83">
        <f>O5/6</f>
        <v>472.78460957438637</v>
      </c>
      <c r="P8" s="84"/>
      <c r="Q8" s="135" t="s">
        <v>16</v>
      </c>
      <c r="R8" s="83">
        <f>R5/6</f>
        <v>435.56768051864333</v>
      </c>
      <c r="S8" s="94"/>
    </row>
    <row r="9" spans="1:19" ht="13.5" customHeight="1">
      <c r="A9" s="11"/>
      <c r="C9" s="35"/>
      <c r="D9" s="36"/>
      <c r="E9" s="36"/>
      <c r="F9" s="433" t="s">
        <v>23</v>
      </c>
      <c r="G9" s="434"/>
      <c r="H9" s="44">
        <f>H8/12</f>
        <v>0</v>
      </c>
      <c r="I9" s="45">
        <f>I8/12</f>
        <v>227494.08333333334</v>
      </c>
      <c r="J9" s="45">
        <f>J8/12</f>
        <v>997869</v>
      </c>
      <c r="K9" s="46">
        <f>K8/12</f>
        <v>100648.91666666667</v>
      </c>
      <c r="L9" s="32"/>
      <c r="M9" s="93"/>
      <c r="N9" s="136" t="s">
        <v>17</v>
      </c>
      <c r="O9" s="85">
        <f>O6/6</f>
        <v>382.64350130050684</v>
      </c>
      <c r="P9" s="84"/>
      <c r="Q9" s="136" t="s">
        <v>17</v>
      </c>
      <c r="R9" s="85">
        <f>R6/6</f>
        <v>327.0435368781227</v>
      </c>
      <c r="S9" s="94"/>
    </row>
    <row r="10" spans="1:19" ht="13.5" customHeight="1">
      <c r="A10" s="11"/>
      <c r="C10" s="35"/>
      <c r="D10" s="35"/>
      <c r="E10" s="35"/>
      <c r="F10" s="435" t="s">
        <v>36</v>
      </c>
      <c r="G10" s="436"/>
      <c r="H10" s="429">
        <f>SUM(H9:K9)</f>
        <v>1326012</v>
      </c>
      <c r="I10" s="430"/>
      <c r="J10" s="430"/>
      <c r="K10" s="430"/>
      <c r="L10" s="32"/>
      <c r="M10" s="93"/>
      <c r="N10" s="246" t="s">
        <v>18</v>
      </c>
      <c r="O10" s="86">
        <f>O7/6</f>
        <v>293.7363621985374</v>
      </c>
      <c r="P10" s="84"/>
      <c r="Q10" s="246" t="s">
        <v>18</v>
      </c>
      <c r="R10" s="86">
        <f>R7/6</f>
        <v>242.0299968815432</v>
      </c>
      <c r="S10" s="94"/>
    </row>
    <row r="11" spans="1:19" ht="13.5" customHeight="1">
      <c r="A11" s="11"/>
      <c r="B11" s="446" t="s">
        <v>118</v>
      </c>
      <c r="C11" s="446"/>
      <c r="D11" s="14"/>
      <c r="E11" s="14"/>
      <c r="F11" s="14"/>
      <c r="G11" s="14"/>
      <c r="H11" s="14"/>
      <c r="I11" s="14"/>
      <c r="J11" s="14"/>
      <c r="K11" s="14"/>
      <c r="L11" s="32"/>
      <c r="M11" s="93"/>
      <c r="N11" s="247" t="s">
        <v>56</v>
      </c>
      <c r="O11" s="87">
        <f>J25</f>
        <v>65</v>
      </c>
      <c r="P11" s="84"/>
      <c r="Q11" s="247" t="s">
        <v>56</v>
      </c>
      <c r="R11" s="87">
        <f>J25</f>
        <v>65</v>
      </c>
      <c r="S11" s="94"/>
    </row>
    <row r="12" spans="2:19" s="11" customFormat="1" ht="19.5" customHeight="1">
      <c r="B12" s="437" t="s">
        <v>38</v>
      </c>
      <c r="C12" s="437"/>
      <c r="D12" s="15"/>
      <c r="E12" s="9"/>
      <c r="F12" s="9"/>
      <c r="G12" s="324" t="s">
        <v>51</v>
      </c>
      <c r="H12" s="325" t="s">
        <v>29</v>
      </c>
      <c r="I12" s="326" t="s">
        <v>30</v>
      </c>
      <c r="J12" s="327" t="s">
        <v>50</v>
      </c>
      <c r="K12" s="328" t="s">
        <v>52</v>
      </c>
      <c r="M12" s="93"/>
      <c r="N12" s="135" t="s">
        <v>19</v>
      </c>
      <c r="O12" s="88">
        <f>((O8*$H$25)+(O9*$I$25)+(O10*$J$25))/($K$25-$J$25)</f>
        <v>520.8030292832638</v>
      </c>
      <c r="P12" s="84"/>
      <c r="Q12" s="135" t="s">
        <v>19</v>
      </c>
      <c r="R12" s="88">
        <f>((R8*$H$25)+(R9*$I$25)+(R10*$J$25))/($K$25-$J$25)</f>
        <v>469.19666161195414</v>
      </c>
      <c r="S12" s="94"/>
    </row>
    <row r="13" spans="1:19" ht="13.5" customHeight="1">
      <c r="A13" s="11"/>
      <c r="B13" s="438"/>
      <c r="C13" s="438"/>
      <c r="D13" s="15"/>
      <c r="G13" s="26">
        <v>42736</v>
      </c>
      <c r="H13" s="75">
        <v>22</v>
      </c>
      <c r="I13" s="75">
        <v>4</v>
      </c>
      <c r="J13" s="75">
        <v>5</v>
      </c>
      <c r="K13" s="80">
        <f aca="true" t="shared" si="1" ref="K13:K25">SUM(H13:J13)</f>
        <v>31</v>
      </c>
      <c r="M13" s="93"/>
      <c r="N13" s="248" t="s">
        <v>58</v>
      </c>
      <c r="O13" s="89">
        <f>O12/11</f>
        <v>47.34572993484216</v>
      </c>
      <c r="P13" s="84"/>
      <c r="Q13" s="248" t="s">
        <v>58</v>
      </c>
      <c r="R13" s="89">
        <f>R12*0.0909</f>
        <v>42.64997654052663</v>
      </c>
      <c r="S13" s="94"/>
    </row>
    <row r="14" spans="1:19" ht="13.5" customHeight="1">
      <c r="A14" s="11"/>
      <c r="B14" s="26">
        <v>42370</v>
      </c>
      <c r="C14" s="313">
        <v>1947747.5</v>
      </c>
      <c r="D14" s="15"/>
      <c r="G14" s="26">
        <v>42767</v>
      </c>
      <c r="H14" s="329">
        <v>19</v>
      </c>
      <c r="I14" s="329">
        <v>4</v>
      </c>
      <c r="J14" s="329">
        <v>5</v>
      </c>
      <c r="K14" s="330">
        <f t="shared" si="1"/>
        <v>28</v>
      </c>
      <c r="M14" s="93"/>
      <c r="N14" s="248" t="s">
        <v>20</v>
      </c>
      <c r="O14" s="90">
        <f>SUM(O12:O13)</f>
        <v>568.148759218106</v>
      </c>
      <c r="P14" s="84"/>
      <c r="Q14" s="248" t="s">
        <v>20</v>
      </c>
      <c r="R14" s="90">
        <f>SUM(R12:R13)</f>
        <v>511.84663815248075</v>
      </c>
      <c r="S14" s="94"/>
    </row>
    <row r="15" spans="1:19" ht="13.5" customHeight="1">
      <c r="A15" s="11"/>
      <c r="B15" s="26">
        <v>42401</v>
      </c>
      <c r="C15" s="313">
        <v>2022990.5</v>
      </c>
      <c r="D15" s="15"/>
      <c r="G15" s="26">
        <v>42795</v>
      </c>
      <c r="H15" s="75">
        <v>23</v>
      </c>
      <c r="I15" s="75">
        <v>4</v>
      </c>
      <c r="J15" s="75">
        <v>4</v>
      </c>
      <c r="K15" s="80">
        <f t="shared" si="1"/>
        <v>31</v>
      </c>
      <c r="M15" s="93"/>
      <c r="N15" s="248" t="s">
        <v>59</v>
      </c>
      <c r="O15" s="90">
        <f>O14*10%</f>
        <v>56.8148759218106</v>
      </c>
      <c r="P15" s="84"/>
      <c r="Q15" s="248" t="s">
        <v>59</v>
      </c>
      <c r="R15" s="90">
        <f>R14/10</f>
        <v>51.18466381524807</v>
      </c>
      <c r="S15" s="94"/>
    </row>
    <row r="16" spans="1:19" ht="13.5" customHeight="1">
      <c r="A16" s="11"/>
      <c r="B16" s="26">
        <v>42430</v>
      </c>
      <c r="C16" s="314">
        <v>2423409</v>
      </c>
      <c r="D16" s="15"/>
      <c r="G16" s="26">
        <v>42826</v>
      </c>
      <c r="H16" s="75">
        <v>18</v>
      </c>
      <c r="I16" s="75">
        <v>5</v>
      </c>
      <c r="J16" s="75">
        <v>7</v>
      </c>
      <c r="K16" s="80">
        <f t="shared" si="1"/>
        <v>30</v>
      </c>
      <c r="M16" s="93"/>
      <c r="N16" s="136" t="s">
        <v>57</v>
      </c>
      <c r="O16" s="90">
        <f>SUM(O14:O15)</f>
        <v>624.9636351399165</v>
      </c>
      <c r="P16" s="84"/>
      <c r="Q16" s="136" t="s">
        <v>57</v>
      </c>
      <c r="R16" s="90">
        <f>SUM(R14:R15)</f>
        <v>563.0313019677288</v>
      </c>
      <c r="S16" s="94"/>
    </row>
    <row r="17" spans="1:19" ht="13.5" customHeight="1">
      <c r="A17" s="11"/>
      <c r="B17" s="26">
        <v>42461</v>
      </c>
      <c r="C17" s="314">
        <v>2284127</v>
      </c>
      <c r="D17" s="15"/>
      <c r="G17" s="26">
        <v>42856</v>
      </c>
      <c r="H17" s="75">
        <v>22</v>
      </c>
      <c r="I17" s="75">
        <v>4</v>
      </c>
      <c r="J17" s="75">
        <v>5</v>
      </c>
      <c r="K17" s="80">
        <f t="shared" si="1"/>
        <v>31</v>
      </c>
      <c r="M17" s="93"/>
      <c r="N17" s="248" t="s">
        <v>60</v>
      </c>
      <c r="O17" s="90">
        <f>O16*5%</f>
        <v>31.248181756995827</v>
      </c>
      <c r="P17" s="84"/>
      <c r="Q17" s="248" t="s">
        <v>60</v>
      </c>
      <c r="R17" s="90">
        <f>R16/20</f>
        <v>28.151565098386442</v>
      </c>
      <c r="S17" s="94"/>
    </row>
    <row r="18" spans="1:19" ht="13.5" customHeight="1">
      <c r="A18" s="11"/>
      <c r="B18" s="26">
        <v>42491</v>
      </c>
      <c r="C18" s="314">
        <v>2243149</v>
      </c>
      <c r="D18" s="15"/>
      <c r="G18" s="26">
        <v>42887</v>
      </c>
      <c r="H18" s="75">
        <v>21</v>
      </c>
      <c r="I18" s="75">
        <v>4</v>
      </c>
      <c r="J18" s="75">
        <v>5</v>
      </c>
      <c r="K18" s="80">
        <f t="shared" si="1"/>
        <v>30</v>
      </c>
      <c r="M18" s="93"/>
      <c r="N18" s="136" t="s">
        <v>21</v>
      </c>
      <c r="O18" s="89">
        <f>SUM(O16:O17)</f>
        <v>656.2118168969123</v>
      </c>
      <c r="P18" s="84"/>
      <c r="Q18" s="136" t="s">
        <v>21</v>
      </c>
      <c r="R18" s="89">
        <f>SUM(R16:R17)</f>
        <v>591.1828670661153</v>
      </c>
      <c r="S18" s="94"/>
    </row>
    <row r="19" spans="1:19" ht="13.5" customHeight="1">
      <c r="A19" s="11"/>
      <c r="B19" s="26">
        <v>42522</v>
      </c>
      <c r="C19" s="314">
        <v>2263312</v>
      </c>
      <c r="D19" s="15"/>
      <c r="G19" s="26">
        <v>42917</v>
      </c>
      <c r="H19" s="329">
        <v>20</v>
      </c>
      <c r="I19" s="329">
        <v>5</v>
      </c>
      <c r="J19" s="329">
        <v>6</v>
      </c>
      <c r="K19" s="330">
        <f t="shared" si="1"/>
        <v>31</v>
      </c>
      <c r="M19" s="93"/>
      <c r="N19" s="246" t="s">
        <v>1</v>
      </c>
      <c r="O19" s="91">
        <f>'Informações da Frota e Custos'!G23</f>
        <v>195</v>
      </c>
      <c r="P19" s="84"/>
      <c r="Q19" s="246" t="s">
        <v>1</v>
      </c>
      <c r="R19" s="91">
        <f>'Informações da Frota e Custos'!D23+'Informações da Frota e Custos'!F23</f>
        <v>159</v>
      </c>
      <c r="S19" s="94"/>
    </row>
    <row r="20" spans="1:19" ht="13.5" customHeight="1">
      <c r="A20" s="11"/>
      <c r="B20" s="26">
        <v>42552</v>
      </c>
      <c r="C20" s="315">
        <v>2057487</v>
      </c>
      <c r="D20" s="16"/>
      <c r="G20" s="26">
        <v>42948</v>
      </c>
      <c r="H20" s="75">
        <v>23</v>
      </c>
      <c r="I20" s="75">
        <v>4</v>
      </c>
      <c r="J20" s="75">
        <v>4</v>
      </c>
      <c r="K20" s="80">
        <f t="shared" si="1"/>
        <v>31</v>
      </c>
      <c r="M20" s="93"/>
      <c r="N20" s="243" t="s">
        <v>55</v>
      </c>
      <c r="O20" s="244">
        <f>O18/O19</f>
        <v>3.3651888045995504</v>
      </c>
      <c r="P20" s="92"/>
      <c r="Q20" s="243" t="s">
        <v>55</v>
      </c>
      <c r="R20" s="244">
        <f>R18/R19</f>
        <v>3.71813123940953</v>
      </c>
      <c r="S20" s="94"/>
    </row>
    <row r="21" spans="1:19" ht="13.5" customHeight="1">
      <c r="A21" s="11"/>
      <c r="B21" s="26">
        <v>42583</v>
      </c>
      <c r="C21" s="315">
        <v>2301161.5</v>
      </c>
      <c r="D21" s="16"/>
      <c r="G21" s="26">
        <v>42979</v>
      </c>
      <c r="H21" s="75">
        <v>19</v>
      </c>
      <c r="I21" s="75">
        <v>5</v>
      </c>
      <c r="J21" s="75">
        <v>6</v>
      </c>
      <c r="K21" s="80">
        <f t="shared" si="1"/>
        <v>30</v>
      </c>
      <c r="M21" s="95"/>
      <c r="N21" s="96"/>
      <c r="O21" s="96"/>
      <c r="P21" s="96"/>
      <c r="Q21" s="96"/>
      <c r="R21" s="96"/>
      <c r="S21" s="97"/>
    </row>
    <row r="22" spans="1:11" ht="13.5" customHeight="1">
      <c r="A22" s="11"/>
      <c r="B22" s="26">
        <v>42614</v>
      </c>
      <c r="C22" s="314">
        <v>2194798</v>
      </c>
      <c r="D22" s="16"/>
      <c r="G22" s="26">
        <v>43009</v>
      </c>
      <c r="H22" s="329">
        <v>21</v>
      </c>
      <c r="I22" s="329">
        <v>4</v>
      </c>
      <c r="J22" s="329">
        <v>6</v>
      </c>
      <c r="K22" s="330">
        <f t="shared" si="1"/>
        <v>31</v>
      </c>
    </row>
    <row r="23" spans="1:11" ht="13.5" customHeight="1">
      <c r="A23" s="11"/>
      <c r="B23" s="26">
        <v>42644</v>
      </c>
      <c r="C23" s="315">
        <v>2164854</v>
      </c>
      <c r="D23" s="16"/>
      <c r="G23" s="26">
        <v>43040</v>
      </c>
      <c r="H23" s="75">
        <v>20</v>
      </c>
      <c r="I23" s="75">
        <v>4</v>
      </c>
      <c r="J23" s="75">
        <v>6</v>
      </c>
      <c r="K23" s="80">
        <f t="shared" si="1"/>
        <v>30</v>
      </c>
    </row>
    <row r="24" spans="1:11" ht="13.5" customHeight="1">
      <c r="A24" s="11"/>
      <c r="B24" s="26">
        <v>42675</v>
      </c>
      <c r="C24" s="315">
        <v>2189350</v>
      </c>
      <c r="D24" s="17"/>
      <c r="G24" s="26">
        <v>43070</v>
      </c>
      <c r="H24" s="75">
        <v>20</v>
      </c>
      <c r="I24" s="75">
        <v>5</v>
      </c>
      <c r="J24" s="75">
        <v>6</v>
      </c>
      <c r="K24" s="80">
        <f t="shared" si="1"/>
        <v>31</v>
      </c>
    </row>
    <row r="25" spans="1:19" ht="13.5" customHeight="1">
      <c r="A25" s="11"/>
      <c r="B25" s="26">
        <v>42705</v>
      </c>
      <c r="C25" s="416">
        <v>2195478</v>
      </c>
      <c r="G25" s="78"/>
      <c r="H25" s="79">
        <f>SUM(H13:H24)</f>
        <v>248</v>
      </c>
      <c r="I25" s="76">
        <f>SUM(I13:I24)</f>
        <v>52</v>
      </c>
      <c r="J25" s="77">
        <f>SUM(J13:J24)</f>
        <v>65</v>
      </c>
      <c r="K25" s="81">
        <f t="shared" si="1"/>
        <v>365</v>
      </c>
      <c r="M25" s="442" t="s">
        <v>152</v>
      </c>
      <c r="N25" s="443"/>
      <c r="O25" s="443"/>
      <c r="P25" s="443"/>
      <c r="Q25" s="443"/>
      <c r="R25" s="443"/>
      <c r="S25" s="444"/>
    </row>
    <row r="26" spans="1:19" ht="13.5" customHeight="1">
      <c r="A26" s="11"/>
      <c r="B26" s="316" t="s">
        <v>37</v>
      </c>
      <c r="C26" s="317">
        <f>AVERAGE(C14:C25)</f>
        <v>2190655.2916666665</v>
      </c>
      <c r="D26" s="374" t="s">
        <v>156</v>
      </c>
      <c r="E26" s="11"/>
      <c r="F26" s="11"/>
      <c r="G26" s="374" t="s">
        <v>156</v>
      </c>
      <c r="M26" s="93"/>
      <c r="N26" s="11"/>
      <c r="O26" s="11"/>
      <c r="P26" s="11"/>
      <c r="Q26" s="11"/>
      <c r="R26" s="11"/>
      <c r="S26" s="94"/>
    </row>
    <row r="27" spans="13:19" ht="19.5" customHeight="1">
      <c r="M27" s="93"/>
      <c r="N27" s="241" t="s">
        <v>53</v>
      </c>
      <c r="O27" s="242"/>
      <c r="P27" s="84"/>
      <c r="Q27" s="241" t="s">
        <v>54</v>
      </c>
      <c r="R27" s="242"/>
      <c r="S27" s="94"/>
    </row>
    <row r="28" spans="2:19" ht="12">
      <c r="B28" s="250"/>
      <c r="M28" s="93"/>
      <c r="N28" s="245" t="s">
        <v>13</v>
      </c>
      <c r="O28" s="351">
        <v>2778.115272055052</v>
      </c>
      <c r="P28" s="82"/>
      <c r="Q28" s="245" t="s">
        <v>13</v>
      </c>
      <c r="R28" s="351">
        <v>2523.361488784691</v>
      </c>
      <c r="S28" s="94"/>
    </row>
    <row r="29" spans="2:19" ht="12">
      <c r="B29" s="250"/>
      <c r="M29" s="93"/>
      <c r="N29" s="136" t="s">
        <v>14</v>
      </c>
      <c r="O29" s="352">
        <v>2285.9826314842885</v>
      </c>
      <c r="P29" s="82"/>
      <c r="Q29" s="136" t="s">
        <v>14</v>
      </c>
      <c r="R29" s="352">
        <v>1915.3212092506694</v>
      </c>
      <c r="S29" s="94"/>
    </row>
    <row r="30" spans="13:19" ht="12">
      <c r="M30" s="93"/>
      <c r="N30" s="246" t="s">
        <v>15</v>
      </c>
      <c r="O30" s="353">
        <v>1730.68031284653</v>
      </c>
      <c r="P30" s="82"/>
      <c r="Q30" s="246" t="s">
        <v>15</v>
      </c>
      <c r="R30" s="353">
        <v>1574.13</v>
      </c>
      <c r="S30" s="94"/>
    </row>
    <row r="31" ht="12.75" thickBot="1"/>
    <row r="32" spans="6:10" ht="12">
      <c r="F32" s="23" t="s">
        <v>32</v>
      </c>
      <c r="G32" s="23" t="s">
        <v>33</v>
      </c>
      <c r="H32" s="28" t="s">
        <v>26</v>
      </c>
      <c r="I32" s="399" t="s">
        <v>154</v>
      </c>
      <c r="J32" s="400" t="s">
        <v>155</v>
      </c>
    </row>
    <row r="33" spans="4:10" ht="12">
      <c r="D33" s="450">
        <v>2015</v>
      </c>
      <c r="E33" s="375" t="s">
        <v>29</v>
      </c>
      <c r="F33" s="376">
        <v>7675</v>
      </c>
      <c r="G33" s="376">
        <v>35436</v>
      </c>
      <c r="H33" s="396">
        <v>3721</v>
      </c>
      <c r="I33" s="401">
        <f>SUM(F33:H33)</f>
        <v>46832</v>
      </c>
      <c r="J33" s="402">
        <f>SUM(G33:H33)</f>
        <v>39157</v>
      </c>
    </row>
    <row r="34" spans="4:10" ht="12">
      <c r="D34" s="451"/>
      <c r="E34" s="377" t="s">
        <v>30</v>
      </c>
      <c r="F34" s="344">
        <v>8624</v>
      </c>
      <c r="G34" s="344">
        <v>27501</v>
      </c>
      <c r="H34" s="397">
        <v>3506</v>
      </c>
      <c r="I34" s="401">
        <f>SUM(F34:H34)</f>
        <v>39631</v>
      </c>
      <c r="J34" s="402">
        <f>SUM(G34:H34)</f>
        <v>31007</v>
      </c>
    </row>
    <row r="35" spans="4:10" ht="12.75" thickBot="1">
      <c r="D35" s="452"/>
      <c r="E35" s="378" t="s">
        <v>31</v>
      </c>
      <c r="F35" s="346">
        <v>5684</v>
      </c>
      <c r="G35" s="346">
        <v>21634</v>
      </c>
      <c r="H35" s="398">
        <v>2552</v>
      </c>
      <c r="I35" s="403">
        <f>SUM(F35:H35)</f>
        <v>29870</v>
      </c>
      <c r="J35" s="404">
        <f>SUM(G35:H35)</f>
        <v>24186</v>
      </c>
    </row>
    <row r="37" ht="12.75" thickBot="1"/>
    <row r="38" spans="6:10" ht="12">
      <c r="F38" s="23" t="s">
        <v>32</v>
      </c>
      <c r="G38" s="23" t="s">
        <v>33</v>
      </c>
      <c r="H38" s="28" t="s">
        <v>26</v>
      </c>
      <c r="I38" s="399" t="s">
        <v>154</v>
      </c>
      <c r="J38" s="400" t="s">
        <v>155</v>
      </c>
    </row>
    <row r="39" spans="4:10" ht="12">
      <c r="D39" s="439">
        <v>2.017</v>
      </c>
      <c r="E39" s="375" t="s">
        <v>29</v>
      </c>
      <c r="F39" s="342">
        <v>7235</v>
      </c>
      <c r="G39" s="342">
        <v>37022</v>
      </c>
      <c r="H39" s="343">
        <v>3584</v>
      </c>
      <c r="I39" s="401">
        <f>SUM(F39:H39)</f>
        <v>47841</v>
      </c>
      <c r="J39" s="402">
        <f>SUM(G39:H39)</f>
        <v>40606</v>
      </c>
    </row>
    <row r="40" spans="4:10" ht="12">
      <c r="D40" s="440"/>
      <c r="E40" s="377" t="s">
        <v>30</v>
      </c>
      <c r="F40" s="344">
        <v>8017</v>
      </c>
      <c r="G40" s="344">
        <v>28856</v>
      </c>
      <c r="H40" s="345">
        <v>2930</v>
      </c>
      <c r="I40" s="401">
        <f>SUM(F40:H40)</f>
        <v>39803</v>
      </c>
      <c r="J40" s="402">
        <f>SUM(G40:H40)</f>
        <v>31786</v>
      </c>
    </row>
    <row r="41" spans="4:10" ht="12.75" thickBot="1">
      <c r="D41" s="441"/>
      <c r="E41" s="378" t="s">
        <v>31</v>
      </c>
      <c r="F41" s="346">
        <v>7981</v>
      </c>
      <c r="G41" s="346">
        <v>19884</v>
      </c>
      <c r="H41" s="347">
        <v>2563</v>
      </c>
      <c r="I41" s="403">
        <f>SUM(F41:H41)</f>
        <v>30428</v>
      </c>
      <c r="J41" s="404">
        <f>SUM(G41:H41)</f>
        <v>22447</v>
      </c>
    </row>
    <row r="43" ht="12.75" thickBot="1"/>
    <row r="44" spans="6:10" ht="12">
      <c r="F44" s="23" t="s">
        <v>32</v>
      </c>
      <c r="G44" s="23" t="s">
        <v>33</v>
      </c>
      <c r="H44" s="28" t="s">
        <v>26</v>
      </c>
      <c r="I44" s="399" t="s">
        <v>154</v>
      </c>
      <c r="J44" s="400" t="s">
        <v>155</v>
      </c>
    </row>
    <row r="45" spans="5:10" ht="12">
      <c r="E45" s="375" t="s">
        <v>29</v>
      </c>
      <c r="F45" s="379">
        <f aca="true" t="shared" si="2" ref="F45:J47">100%-(F33/F39)</f>
        <v>-0.06081548030407746</v>
      </c>
      <c r="G45" s="379">
        <f t="shared" si="2"/>
        <v>0.04283939279347415</v>
      </c>
      <c r="H45" s="405">
        <f t="shared" si="2"/>
        <v>-0.0382254464285714</v>
      </c>
      <c r="I45" s="406">
        <f t="shared" si="2"/>
        <v>0.021090696264710163</v>
      </c>
      <c r="J45" s="407">
        <f t="shared" si="2"/>
        <v>0.03568438161847998</v>
      </c>
    </row>
    <row r="46" spans="5:10" ht="12">
      <c r="E46" s="377" t="s">
        <v>30</v>
      </c>
      <c r="F46" s="379">
        <f t="shared" si="2"/>
        <v>-0.07571410752151686</v>
      </c>
      <c r="G46" s="379">
        <f t="shared" si="2"/>
        <v>0.04695730523981145</v>
      </c>
      <c r="H46" s="405">
        <f t="shared" si="2"/>
        <v>-0.19658703071672345</v>
      </c>
      <c r="I46" s="406">
        <f t="shared" si="2"/>
        <v>0.0043212823154034075</v>
      </c>
      <c r="J46" s="407">
        <f t="shared" si="2"/>
        <v>0.024507644875102264</v>
      </c>
    </row>
    <row r="47" spans="5:10" ht="12.75" thickBot="1">
      <c r="E47" s="378" t="s">
        <v>31</v>
      </c>
      <c r="F47" s="379">
        <f t="shared" si="2"/>
        <v>0.2878085452950758</v>
      </c>
      <c r="G47" s="379">
        <f t="shared" si="2"/>
        <v>-0.088010460671897</v>
      </c>
      <c r="H47" s="405">
        <f t="shared" si="2"/>
        <v>0.0042918454935622075</v>
      </c>
      <c r="I47" s="408">
        <f t="shared" si="2"/>
        <v>0.018338372551597204</v>
      </c>
      <c r="J47" s="409">
        <f t="shared" si="2"/>
        <v>-0.07747137702142814</v>
      </c>
    </row>
    <row r="54" spans="8:10" ht="12">
      <c r="H54" s="75"/>
      <c r="I54" s="75"/>
      <c r="J54" s="75"/>
    </row>
    <row r="55" spans="8:10" ht="12">
      <c r="H55" s="329"/>
      <c r="I55" s="329"/>
      <c r="J55" s="329"/>
    </row>
    <row r="56" spans="8:10" ht="12">
      <c r="H56" s="75"/>
      <c r="I56" s="75"/>
      <c r="J56" s="75"/>
    </row>
    <row r="57" spans="8:10" ht="12">
      <c r="H57" s="75"/>
      <c r="I57" s="75"/>
      <c r="J57" s="75"/>
    </row>
    <row r="58" spans="8:10" ht="12">
      <c r="H58" s="75"/>
      <c r="I58" s="75"/>
      <c r="J58" s="75"/>
    </row>
    <row r="59" spans="8:10" ht="12">
      <c r="H59" s="75"/>
      <c r="I59" s="75"/>
      <c r="J59" s="75"/>
    </row>
    <row r="60" spans="8:10" ht="12">
      <c r="H60" s="329"/>
      <c r="I60" s="329"/>
      <c r="J60" s="329"/>
    </row>
    <row r="61" spans="8:10" ht="12">
      <c r="H61" s="75"/>
      <c r="I61" s="75"/>
      <c r="J61" s="75"/>
    </row>
    <row r="62" spans="8:10" ht="12">
      <c r="H62" s="75"/>
      <c r="I62" s="75"/>
      <c r="J62" s="75"/>
    </row>
    <row r="63" spans="8:10" ht="12">
      <c r="H63" s="329"/>
      <c r="I63" s="329"/>
      <c r="J63" s="329"/>
    </row>
    <row r="64" spans="8:10" ht="12">
      <c r="H64" s="75"/>
      <c r="I64" s="75"/>
      <c r="J64" s="75"/>
    </row>
    <row r="65" spans="8:10" ht="12">
      <c r="H65" s="75"/>
      <c r="I65" s="75"/>
      <c r="J65" s="75"/>
    </row>
  </sheetData>
  <sheetProtection/>
  <mergeCells count="14">
    <mergeCell ref="D39:D41"/>
    <mergeCell ref="M25:S25"/>
    <mergeCell ref="M2:S2"/>
    <mergeCell ref="B2:K2"/>
    <mergeCell ref="B11:C11"/>
    <mergeCell ref="B4:C4"/>
    <mergeCell ref="D3:G3"/>
    <mergeCell ref="D33:D35"/>
    <mergeCell ref="H3:K3"/>
    <mergeCell ref="H10:K10"/>
    <mergeCell ref="F8:G8"/>
    <mergeCell ref="F9:G9"/>
    <mergeCell ref="F10:G10"/>
    <mergeCell ref="B12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ignoredErrors>
    <ignoredError sqref="O15 O17 R15 R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7"/>
  <sheetViews>
    <sheetView showGridLines="0" zoomScale="115" zoomScaleNormal="115" zoomScalePageLayoutView="0" workbookViewId="0" topLeftCell="F16">
      <selection activeCell="L23" sqref="L23:L25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9.625" style="1" customWidth="1"/>
    <col min="11" max="11" width="20.625" style="1" customWidth="1"/>
    <col min="12" max="12" width="10.375" style="1" customWidth="1"/>
    <col min="13" max="13" width="8.625" style="1" customWidth="1"/>
    <col min="14" max="14" width="5.625" style="1" customWidth="1"/>
    <col min="15" max="15" width="20.625" style="1" customWidth="1"/>
    <col min="16" max="16" width="8.625" style="1" customWidth="1"/>
    <col min="17" max="17" width="9.00390625" style="1" customWidth="1"/>
    <col min="18" max="18" width="22.50390625" style="1" customWidth="1"/>
    <col min="19" max="19" width="12.50390625" style="1" customWidth="1"/>
    <col min="20" max="16384" width="9.00390625" style="1" customWidth="1"/>
  </cols>
  <sheetData>
    <row r="2" spans="2:11" s="2" customFormat="1" ht="13.5" customHeight="1">
      <c r="B2" s="104" t="s">
        <v>39</v>
      </c>
      <c r="C2" s="13"/>
      <c r="D2" s="13"/>
      <c r="E2" s="13"/>
      <c r="F2" s="13"/>
      <c r="G2" s="12"/>
      <c r="H2" s="12"/>
      <c r="I2" s="12"/>
      <c r="J2" s="12"/>
      <c r="K2" s="47"/>
    </row>
    <row r="3" spans="1:16" s="2" customFormat="1" ht="13.5" customHeight="1">
      <c r="A3" s="3"/>
      <c r="B3" s="460"/>
      <c r="C3" s="461"/>
      <c r="D3" s="50" t="s">
        <v>40</v>
      </c>
      <c r="E3" s="51" t="s">
        <v>41</v>
      </c>
      <c r="F3" s="51" t="s">
        <v>42</v>
      </c>
      <c r="G3" s="51" t="s">
        <v>43</v>
      </c>
      <c r="H3" s="52" t="s">
        <v>44</v>
      </c>
      <c r="I3" s="357"/>
      <c r="J3" s="361" t="s">
        <v>147</v>
      </c>
      <c r="K3" s="457" t="s">
        <v>157</v>
      </c>
      <c r="L3" s="457"/>
      <c r="M3" s="361" t="s">
        <v>148</v>
      </c>
      <c r="O3" s="465" t="s">
        <v>121</v>
      </c>
      <c r="P3" s="465"/>
    </row>
    <row r="4" spans="1:20" s="2" customFormat="1" ht="13.5" customHeight="1">
      <c r="A4" s="3"/>
      <c r="B4" s="453" t="s">
        <v>32</v>
      </c>
      <c r="C4" s="454"/>
      <c r="D4" s="331">
        <v>159000</v>
      </c>
      <c r="E4" s="341">
        <v>126500</v>
      </c>
      <c r="F4" s="49">
        <f>SUM(D4:E4)</f>
        <v>285500</v>
      </c>
      <c r="G4" s="49">
        <f>6*L17</f>
        <v>5811.78</v>
      </c>
      <c r="H4" s="193">
        <f>F4-G4</f>
        <v>279688.22</v>
      </c>
      <c r="I4" s="56"/>
      <c r="J4" s="366">
        <v>0</v>
      </c>
      <c r="K4" s="135" t="s">
        <v>96</v>
      </c>
      <c r="L4" s="332">
        <v>1805.59</v>
      </c>
      <c r="M4" s="332">
        <v>1805.59</v>
      </c>
      <c r="N4" s="3"/>
      <c r="O4" s="252" t="s">
        <v>120</v>
      </c>
      <c r="P4" s="354" t="s">
        <v>118</v>
      </c>
      <c r="R4" s="462"/>
      <c r="S4" s="462"/>
      <c r="T4" s="259"/>
    </row>
    <row r="5" spans="1:21" s="2" customFormat="1" ht="13.5" customHeight="1">
      <c r="A5" s="3"/>
      <c r="B5" s="453" t="s">
        <v>45</v>
      </c>
      <c r="C5" s="454"/>
      <c r="D5" s="331">
        <v>178000</v>
      </c>
      <c r="E5" s="341">
        <v>138500</v>
      </c>
      <c r="F5" s="49">
        <f>SUM(D5:E5)</f>
        <v>316500</v>
      </c>
      <c r="G5" s="49">
        <f>6*L17</f>
        <v>5811.78</v>
      </c>
      <c r="H5" s="193">
        <f>F5-G5</f>
        <v>310688.22</v>
      </c>
      <c r="I5" s="56"/>
      <c r="J5" s="366">
        <v>0</v>
      </c>
      <c r="K5" s="136" t="s">
        <v>97</v>
      </c>
      <c r="L5" s="332">
        <v>1427.88</v>
      </c>
      <c r="M5" s="332">
        <v>1427.48</v>
      </c>
      <c r="O5" s="139" t="s">
        <v>95</v>
      </c>
      <c r="P5" s="254">
        <v>2.223</v>
      </c>
      <c r="Q5" s="374" t="s">
        <v>156</v>
      </c>
      <c r="R5" s="373"/>
      <c r="S5" s="467"/>
      <c r="T5" s="467"/>
      <c r="U5" s="467"/>
    </row>
    <row r="6" spans="1:21" s="2" customFormat="1" ht="13.5" customHeight="1">
      <c r="A6" s="3"/>
      <c r="B6" s="453" t="s">
        <v>26</v>
      </c>
      <c r="C6" s="454"/>
      <c r="D6" s="331">
        <v>405000</v>
      </c>
      <c r="E6" s="341">
        <v>309000</v>
      </c>
      <c r="F6" s="49">
        <f>SUM(D6:E6)</f>
        <v>714000</v>
      </c>
      <c r="G6" s="49">
        <f>10*L18</f>
        <v>10715.8</v>
      </c>
      <c r="H6" s="193">
        <f>F6-G6</f>
        <v>703284.2</v>
      </c>
      <c r="I6" s="56"/>
      <c r="J6" s="366">
        <v>0</v>
      </c>
      <c r="K6" s="140" t="s">
        <v>54</v>
      </c>
      <c r="L6" s="332">
        <v>1081.61</v>
      </c>
      <c r="M6" s="332">
        <v>1081.61</v>
      </c>
      <c r="R6" s="262"/>
      <c r="S6" s="467"/>
      <c r="T6" s="467"/>
      <c r="U6" s="467"/>
    </row>
    <row r="7" spans="1:21" s="2" customFormat="1" ht="13.5" customHeight="1">
      <c r="A7" s="3"/>
      <c r="B7" s="55"/>
      <c r="C7" s="55"/>
      <c r="D7" s="56"/>
      <c r="E7" s="56"/>
      <c r="F7" s="56"/>
      <c r="G7" s="56"/>
      <c r="H7" s="374" t="s">
        <v>156</v>
      </c>
      <c r="I7" s="57"/>
      <c r="J7" s="48"/>
      <c r="K7" s="140" t="s">
        <v>110</v>
      </c>
      <c r="L7" s="229">
        <v>0.423893</v>
      </c>
      <c r="M7" s="374" t="s">
        <v>156</v>
      </c>
      <c r="O7" s="459" t="s">
        <v>122</v>
      </c>
      <c r="P7" s="459"/>
      <c r="R7" s="255"/>
      <c r="S7" s="467"/>
      <c r="T7" s="467"/>
      <c r="U7" s="467"/>
    </row>
    <row r="8" spans="1:21" s="2" customFormat="1" ht="13.5" customHeight="1">
      <c r="A8" s="3"/>
      <c r="B8" s="12" t="s">
        <v>145</v>
      </c>
      <c r="C8" s="12"/>
      <c r="D8" s="12"/>
      <c r="E8" s="12"/>
      <c r="F8" s="12"/>
      <c r="G8" s="12"/>
      <c r="H8" s="56"/>
      <c r="I8" s="56"/>
      <c r="J8" s="340"/>
      <c r="O8" s="252" t="s">
        <v>120</v>
      </c>
      <c r="P8" s="355">
        <v>0</v>
      </c>
      <c r="R8" s="259"/>
      <c r="S8" s="467"/>
      <c r="T8" s="467"/>
      <c r="U8" s="467"/>
    </row>
    <row r="9" spans="2:21" s="2" customFormat="1" ht="13.5" customHeight="1">
      <c r="B9" s="64" t="s">
        <v>46</v>
      </c>
      <c r="C9" s="67" t="s">
        <v>25</v>
      </c>
      <c r="D9" s="53" t="s">
        <v>45</v>
      </c>
      <c r="E9" s="53" t="s">
        <v>32</v>
      </c>
      <c r="F9" s="53" t="s">
        <v>26</v>
      </c>
      <c r="G9" s="54" t="s">
        <v>47</v>
      </c>
      <c r="H9" s="56"/>
      <c r="I9" s="56"/>
      <c r="J9" s="361" t="s">
        <v>147</v>
      </c>
      <c r="K9" s="457" t="s">
        <v>149</v>
      </c>
      <c r="L9" s="457"/>
      <c r="M9" s="361" t="s">
        <v>148</v>
      </c>
      <c r="N9" s="48"/>
      <c r="O9" s="139" t="s">
        <v>95</v>
      </c>
      <c r="P9" s="254">
        <v>2.2748</v>
      </c>
      <c r="Q9" s="374" t="s">
        <v>156</v>
      </c>
      <c r="S9" s="468"/>
      <c r="T9" s="468"/>
      <c r="U9" s="468"/>
    </row>
    <row r="10" spans="2:21" s="4" customFormat="1" ht="13.5" customHeight="1">
      <c r="B10" s="65">
        <v>2017</v>
      </c>
      <c r="C10" s="68">
        <v>0</v>
      </c>
      <c r="D10" s="58">
        <v>25</v>
      </c>
      <c r="E10" s="58">
        <v>3</v>
      </c>
      <c r="F10" s="58">
        <v>0</v>
      </c>
      <c r="G10" s="59">
        <f aca="true" t="shared" si="0" ref="G10:G21">SUM(C10:F10)</f>
        <v>28</v>
      </c>
      <c r="H10" s="374" t="s">
        <v>156</v>
      </c>
      <c r="I10" s="56"/>
      <c r="J10" s="366">
        <v>0</v>
      </c>
      <c r="K10" s="135" t="s">
        <v>111</v>
      </c>
      <c r="L10" s="332">
        <v>500</v>
      </c>
      <c r="M10" s="332">
        <v>500</v>
      </c>
      <c r="N10" s="105"/>
      <c r="O10" s="253" t="s">
        <v>118</v>
      </c>
      <c r="P10" s="251" t="s">
        <v>118</v>
      </c>
      <c r="R10" s="463" t="s">
        <v>131</v>
      </c>
      <c r="S10" s="463"/>
      <c r="T10" s="463"/>
      <c r="U10" s="463"/>
    </row>
    <row r="11" spans="2:21" s="2" customFormat="1" ht="13.5" customHeight="1">
      <c r="B11" s="65">
        <v>2016</v>
      </c>
      <c r="C11" s="68">
        <v>0</v>
      </c>
      <c r="D11" s="58">
        <v>3</v>
      </c>
      <c r="E11" s="58">
        <v>0</v>
      </c>
      <c r="F11" s="58">
        <v>1</v>
      </c>
      <c r="G11" s="59">
        <f t="shared" si="0"/>
        <v>4</v>
      </c>
      <c r="H11" s="265"/>
      <c r="I11" s="265"/>
      <c r="J11" s="366"/>
      <c r="K11" s="135" t="s">
        <v>158</v>
      </c>
      <c r="L11" s="332">
        <v>60</v>
      </c>
      <c r="M11" s="332">
        <v>60</v>
      </c>
      <c r="N11" s="105"/>
      <c r="O11" s="458" t="s">
        <v>123</v>
      </c>
      <c r="P11" s="458"/>
      <c r="R11" s="464"/>
      <c r="S11" s="464"/>
      <c r="T11" s="464"/>
      <c r="U11" s="464"/>
    </row>
    <row r="12" spans="2:21" s="2" customFormat="1" ht="13.5" customHeight="1">
      <c r="B12" s="65">
        <v>2015</v>
      </c>
      <c r="C12" s="68">
        <v>0</v>
      </c>
      <c r="D12" s="58">
        <v>2</v>
      </c>
      <c r="E12" s="58">
        <v>0</v>
      </c>
      <c r="F12" s="58">
        <v>0</v>
      </c>
      <c r="G12" s="59">
        <f t="shared" si="0"/>
        <v>2</v>
      </c>
      <c r="H12" s="48"/>
      <c r="I12" s="48"/>
      <c r="K12" s="142" t="s">
        <v>112</v>
      </c>
      <c r="L12" s="143">
        <f>L10+L11</f>
        <v>560</v>
      </c>
      <c r="M12" s="374" t="s">
        <v>156</v>
      </c>
      <c r="N12" s="105"/>
      <c r="O12" s="139" t="s">
        <v>120</v>
      </c>
      <c r="P12" s="356">
        <v>1.081</v>
      </c>
      <c r="Q12" s="374" t="s">
        <v>156</v>
      </c>
      <c r="R12" s="260" t="s">
        <v>126</v>
      </c>
      <c r="S12" s="260"/>
      <c r="T12" s="260" t="s">
        <v>127</v>
      </c>
      <c r="U12" s="260" t="s">
        <v>128</v>
      </c>
    </row>
    <row r="13" spans="2:21" s="2" customFormat="1" ht="13.5" customHeight="1">
      <c r="B13" s="65">
        <v>2014</v>
      </c>
      <c r="C13" s="68">
        <v>0</v>
      </c>
      <c r="D13" s="58">
        <v>8</v>
      </c>
      <c r="E13" s="58">
        <v>0</v>
      </c>
      <c r="F13" s="58">
        <v>1</v>
      </c>
      <c r="G13" s="59">
        <f t="shared" si="0"/>
        <v>9</v>
      </c>
      <c r="H13" s="48"/>
      <c r="I13" s="367"/>
      <c r="N13" s="105"/>
      <c r="R13" s="455" t="s">
        <v>26</v>
      </c>
      <c r="S13" s="456"/>
      <c r="T13" s="261">
        <v>0.5</v>
      </c>
      <c r="U13" s="261">
        <v>0.5</v>
      </c>
    </row>
    <row r="14" spans="2:21" s="2" customFormat="1" ht="13.5" customHeight="1">
      <c r="B14" s="66">
        <v>2013</v>
      </c>
      <c r="C14" s="69">
        <v>0</v>
      </c>
      <c r="D14" s="60">
        <v>23</v>
      </c>
      <c r="E14" s="60">
        <v>2</v>
      </c>
      <c r="F14" s="60">
        <v>8</v>
      </c>
      <c r="G14" s="59">
        <f t="shared" si="0"/>
        <v>33</v>
      </c>
      <c r="H14" s="48"/>
      <c r="I14" s="367"/>
      <c r="J14" s="48"/>
      <c r="M14" s="362"/>
      <c r="N14" s="105"/>
      <c r="R14" s="455" t="s">
        <v>129</v>
      </c>
      <c r="S14" s="456"/>
      <c r="T14" s="261">
        <v>0.39</v>
      </c>
      <c r="U14" s="261">
        <v>0.61</v>
      </c>
    </row>
    <row r="15" spans="2:21" s="2" customFormat="1" ht="13.5" customHeight="1">
      <c r="B15" s="66">
        <v>2012</v>
      </c>
      <c r="C15" s="69">
        <v>0</v>
      </c>
      <c r="D15" s="60">
        <v>10</v>
      </c>
      <c r="E15" s="60">
        <v>15</v>
      </c>
      <c r="F15" s="60">
        <v>4</v>
      </c>
      <c r="G15" s="59">
        <f t="shared" si="0"/>
        <v>29</v>
      </c>
      <c r="H15" s="48"/>
      <c r="I15" s="367"/>
      <c r="J15" s="368"/>
      <c r="N15" s="105"/>
      <c r="O15" s="257"/>
      <c r="P15" s="256"/>
      <c r="R15" s="455" t="s">
        <v>130</v>
      </c>
      <c r="S15" s="456"/>
      <c r="T15" s="261">
        <v>0.12</v>
      </c>
      <c r="U15" s="261">
        <v>0.88</v>
      </c>
    </row>
    <row r="16" spans="2:21" s="2" customFormat="1" ht="13.5" customHeight="1">
      <c r="B16" s="66">
        <v>2011</v>
      </c>
      <c r="C16" s="69">
        <v>0</v>
      </c>
      <c r="D16" s="60">
        <v>0</v>
      </c>
      <c r="E16" s="60">
        <v>0</v>
      </c>
      <c r="F16" s="60">
        <v>0</v>
      </c>
      <c r="G16" s="59">
        <f t="shared" si="0"/>
        <v>0</v>
      </c>
      <c r="H16" s="48"/>
      <c r="I16" s="48"/>
      <c r="J16" s="48"/>
      <c r="K16" s="457" t="s">
        <v>101</v>
      </c>
      <c r="L16" s="457"/>
      <c r="M16" s="411"/>
      <c r="O16" s="257"/>
      <c r="P16" s="258"/>
      <c r="U16" s="374">
        <v>42705</v>
      </c>
    </row>
    <row r="17" spans="2:17" s="2" customFormat="1" ht="13.5" customHeight="1">
      <c r="B17" s="66">
        <v>2010</v>
      </c>
      <c r="C17" s="69">
        <v>0</v>
      </c>
      <c r="D17" s="60">
        <v>26</v>
      </c>
      <c r="E17" s="60">
        <v>2</v>
      </c>
      <c r="F17" s="60">
        <v>6</v>
      </c>
      <c r="G17" s="59">
        <f t="shared" si="0"/>
        <v>34</v>
      </c>
      <c r="H17" s="48"/>
      <c r="I17" s="48"/>
      <c r="J17" s="48"/>
      <c r="K17" s="137" t="s">
        <v>102</v>
      </c>
      <c r="L17" s="332">
        <v>968.63</v>
      </c>
      <c r="M17" s="374" t="s">
        <v>156</v>
      </c>
      <c r="O17" s="393"/>
      <c r="P17" s="466"/>
      <c r="Q17" s="466"/>
    </row>
    <row r="18" spans="2:24" s="2" customFormat="1" ht="13.5" customHeight="1">
      <c r="B18" s="66">
        <v>2009</v>
      </c>
      <c r="C18" s="69">
        <v>0</v>
      </c>
      <c r="D18" s="60">
        <v>11</v>
      </c>
      <c r="E18" s="60">
        <v>4</v>
      </c>
      <c r="F18" s="60">
        <v>0</v>
      </c>
      <c r="G18" s="59">
        <f t="shared" si="0"/>
        <v>15</v>
      </c>
      <c r="H18" s="48"/>
      <c r="I18" s="48"/>
      <c r="J18" s="48"/>
      <c r="K18" s="138" t="s">
        <v>103</v>
      </c>
      <c r="L18" s="332">
        <v>1071.58</v>
      </c>
      <c r="M18" s="413"/>
      <c r="N18" s="141"/>
      <c r="O18" s="394"/>
      <c r="P18" s="466"/>
      <c r="Q18" s="466"/>
      <c r="R18" s="3"/>
      <c r="S18" s="3"/>
      <c r="T18" s="3"/>
      <c r="U18" s="3"/>
      <c r="V18" s="3"/>
      <c r="W18" s="3"/>
      <c r="X18" s="3"/>
    </row>
    <row r="19" spans="2:24" s="2" customFormat="1" ht="13.5" customHeight="1">
      <c r="B19" s="66">
        <v>2008</v>
      </c>
      <c r="C19" s="69">
        <v>0</v>
      </c>
      <c r="D19" s="60">
        <v>41</v>
      </c>
      <c r="E19" s="60">
        <v>5</v>
      </c>
      <c r="F19" s="60">
        <v>0</v>
      </c>
      <c r="G19" s="59">
        <f t="shared" si="0"/>
        <v>46</v>
      </c>
      <c r="H19" s="48"/>
      <c r="I19" s="48"/>
      <c r="J19" s="48"/>
      <c r="K19" s="138" t="s">
        <v>104</v>
      </c>
      <c r="L19" s="332">
        <v>380</v>
      </c>
      <c r="M19" s="412"/>
      <c r="N19" s="134"/>
      <c r="O19" s="395"/>
      <c r="P19" s="466"/>
      <c r="Q19" s="466"/>
      <c r="R19" s="380"/>
      <c r="S19" s="380"/>
      <c r="T19" s="380"/>
      <c r="U19" s="380"/>
      <c r="V19" s="3"/>
      <c r="W19" s="3"/>
      <c r="X19" s="3"/>
    </row>
    <row r="20" spans="2:24" s="2" customFormat="1" ht="13.5" customHeight="1">
      <c r="B20" s="66">
        <v>2007</v>
      </c>
      <c r="C20" s="69">
        <v>0</v>
      </c>
      <c r="D20" s="60">
        <v>7</v>
      </c>
      <c r="E20" s="60">
        <v>10</v>
      </c>
      <c r="F20" s="60">
        <v>0</v>
      </c>
      <c r="G20" s="59">
        <f t="shared" si="0"/>
        <v>17</v>
      </c>
      <c r="H20" s="48"/>
      <c r="I20" s="48"/>
      <c r="J20" s="48"/>
      <c r="K20" s="138" t="s">
        <v>105</v>
      </c>
      <c r="L20" s="332">
        <v>396</v>
      </c>
      <c r="M20" s="412"/>
      <c r="N20" s="134"/>
      <c r="O20" s="393"/>
      <c r="P20" s="466"/>
      <c r="Q20" s="466"/>
      <c r="R20" s="380"/>
      <c r="S20" s="380"/>
      <c r="T20" s="380"/>
      <c r="U20" s="380"/>
      <c r="V20" s="3"/>
      <c r="W20" s="3"/>
      <c r="X20" s="3"/>
    </row>
    <row r="21" spans="2:24" s="2" customFormat="1" ht="13.5" customHeight="1">
      <c r="B21" s="71" t="s">
        <v>22</v>
      </c>
      <c r="C21" s="70">
        <f>SUM(C12:C20)</f>
        <v>0</v>
      </c>
      <c r="D21" s="61">
        <f>SUM(D10:D20)</f>
        <v>156</v>
      </c>
      <c r="E21" s="61">
        <f>SUM(E10:E20)</f>
        <v>41</v>
      </c>
      <c r="F21" s="61">
        <f>SUM(F10:F20)</f>
        <v>20</v>
      </c>
      <c r="G21" s="62">
        <f t="shared" si="0"/>
        <v>217</v>
      </c>
      <c r="H21" s="48"/>
      <c r="I21" s="48"/>
      <c r="J21" s="48"/>
      <c r="N21" s="134"/>
      <c r="O21" s="134"/>
      <c r="P21" s="466"/>
      <c r="Q21" s="466"/>
      <c r="R21" s="381"/>
      <c r="S21" s="382"/>
      <c r="T21" s="382"/>
      <c r="U21" s="382"/>
      <c r="V21" s="3"/>
      <c r="W21" s="3"/>
      <c r="X21" s="3"/>
    </row>
    <row r="22" spans="2:24" s="2" customFormat="1" ht="15" customHeight="1">
      <c r="B22" s="71"/>
      <c r="C22" s="63"/>
      <c r="D22" s="63"/>
      <c r="E22" s="63"/>
      <c r="F22" s="63"/>
      <c r="G22" s="63"/>
      <c r="H22" s="48"/>
      <c r="I22" s="48"/>
      <c r="J22" s="48"/>
      <c r="K22" s="457" t="s">
        <v>98</v>
      </c>
      <c r="L22" s="457"/>
      <c r="M22" s="358"/>
      <c r="N22" s="134"/>
      <c r="P22" s="466"/>
      <c r="Q22" s="466"/>
      <c r="R22" s="383"/>
      <c r="S22" s="382"/>
      <c r="T22" s="382"/>
      <c r="U22" s="382"/>
      <c r="V22" s="3"/>
      <c r="W22" s="3"/>
      <c r="X22" s="3"/>
    </row>
    <row r="23" spans="2:21" s="3" customFormat="1" ht="13.5" customHeight="1">
      <c r="B23" s="100" t="s">
        <v>61</v>
      </c>
      <c r="C23" s="101">
        <v>0</v>
      </c>
      <c r="D23" s="102">
        <v>142</v>
      </c>
      <c r="E23" s="102">
        <v>36</v>
      </c>
      <c r="F23" s="102">
        <v>17</v>
      </c>
      <c r="G23" s="103">
        <f>SUM(C23:F23)</f>
        <v>195</v>
      </c>
      <c r="H23" s="12"/>
      <c r="I23" s="12"/>
      <c r="J23" s="48"/>
      <c r="K23" s="135" t="s">
        <v>99</v>
      </c>
      <c r="L23" s="333">
        <f>G21</f>
        <v>217</v>
      </c>
      <c r="M23" s="262"/>
      <c r="N23" s="134"/>
      <c r="P23" s="466"/>
      <c r="Q23" s="466"/>
      <c r="R23" s="383"/>
      <c r="S23" s="382"/>
      <c r="T23" s="382"/>
      <c r="U23" s="382"/>
    </row>
    <row r="24" spans="2:24" s="2" customFormat="1" ht="10.5" customHeight="1">
      <c r="B24" s="48"/>
      <c r="C24" s="63"/>
      <c r="D24" s="63"/>
      <c r="E24" s="63"/>
      <c r="F24" s="63"/>
      <c r="G24" s="63"/>
      <c r="H24" s="12"/>
      <c r="I24" s="12"/>
      <c r="J24" s="48"/>
      <c r="K24" s="136" t="s">
        <v>116</v>
      </c>
      <c r="L24" s="334">
        <v>472.08</v>
      </c>
      <c r="M24" s="360"/>
      <c r="N24" s="72"/>
      <c r="P24" s="466"/>
      <c r="Q24" s="466"/>
      <c r="R24" s="383"/>
      <c r="S24" s="382"/>
      <c r="T24" s="382"/>
      <c r="U24" s="382"/>
      <c r="V24" s="3"/>
      <c r="W24" s="3"/>
      <c r="X24" s="3"/>
    </row>
    <row r="25" spans="2:24" s="2" customFormat="1" ht="13.5" customHeight="1">
      <c r="B25" s="98" t="s">
        <v>48</v>
      </c>
      <c r="C25" s="99">
        <f>IF(C21=0,0,((C10*(2017-$B$10))+(C11*(2017-$B$11))+(C12*(2017-$B12))+(C13*(2017-$B13))+(C14*(2017-$B14))+(C15*(2017-$B15))+(C16*(2017-$B16))+(C17*(2017-$B17))+(C18*(2017-$B18))+(C19*(2017-$B19))+(C20*(2017-$B20)))/C21)</f>
        <v>0</v>
      </c>
      <c r="D25" s="99">
        <f>IF(D21=0,0,((D10*(2017-$B$10))+(D11*(2017-$B$11))+(D12*(2017-$B12))+(D13*(2017-$B13))+(D14*(2017-$B14))+(D15*(2017-$B15))+(D16*(2017-$B16))+(D17*(2017-$B17))+(D18*(2017-$B18))+(D19*(2017-$B19))+(D20*(2017-$B20)))/D21)</f>
        <v>5.653846153846154</v>
      </c>
      <c r="E25" s="99">
        <f>IF(E21=0,0,((E10*(2017-$B$10))+(E11*(2017-$B$11))+(E12*(2017-$B12))+(E13*(2017-$B13))+(E14*(2017-$B14))+(E15*(2017-$B15))+(E16*(2017-$B16))+(E17*(2017-$B17))+(E18*(2017-$B18))+(E19*(2017-$B19))+(E20*(2017-$B20)))/E21)</f>
        <v>6.682926829268292</v>
      </c>
      <c r="F25" s="99">
        <f>IF(F21=0,0,((F10*(2017-$B$10))+(F11*(2017-$B$11))+(F12*(2017-$B12))+(F13*(2017-$B13))+(F14*(2017-$B14))+(F15*(2017-$B15))+(F16*(2017-$B16))+(F17*(2017-$B17))+(F18*(2017-$B18))+(F19*(2017-$B19))+(F20*(2017-$B20)))/F21)</f>
        <v>4.9</v>
      </c>
      <c r="G25" s="99">
        <f>IF(G21=0,0,((G10*(2017-$B$10))+(G11*(2017-$B$11))+(G12*(2017-$B12))+(G13*(2017-$B13))+(G14*(2017-$B14))+(G15*(2017-$B15))+(G16*(2017-$B16))+(G17*(2017-$B17))+(G18*(2017-$B18))+(G19*(2017-$B19))+(G20*(2017-$B20)))/G21)</f>
        <v>5.778801843317972</v>
      </c>
      <c r="H25" s="374" t="s">
        <v>156</v>
      </c>
      <c r="I25" s="74"/>
      <c r="J25" s="48"/>
      <c r="K25" s="136" t="s">
        <v>117</v>
      </c>
      <c r="L25" s="334">
        <v>2016</v>
      </c>
      <c r="M25" s="415"/>
      <c r="N25" s="72"/>
      <c r="R25" s="381"/>
      <c r="S25" s="382"/>
      <c r="T25" s="382"/>
      <c r="U25" s="382"/>
      <c r="V25" s="384"/>
      <c r="W25" s="384"/>
      <c r="X25" s="385"/>
    </row>
    <row r="26" spans="2:24" s="2" customFormat="1" ht="15" customHeight="1">
      <c r="B26" s="3"/>
      <c r="C26" s="3"/>
      <c r="D26" s="3"/>
      <c r="E26" s="3"/>
      <c r="F26" s="3"/>
      <c r="G26" s="48"/>
      <c r="H26" s="12"/>
      <c r="I26" s="12"/>
      <c r="J26" s="48"/>
      <c r="K26" s="142" t="s">
        <v>100</v>
      </c>
      <c r="L26" s="335">
        <f>L25+L24</f>
        <v>2488.08</v>
      </c>
      <c r="M26" s="318"/>
      <c r="N26" s="72"/>
      <c r="O26" s="240"/>
      <c r="R26" s="383"/>
      <c r="S26" s="382"/>
      <c r="T26" s="382"/>
      <c r="U26" s="382"/>
      <c r="V26" s="3"/>
      <c r="W26" s="3"/>
      <c r="X26" s="3"/>
    </row>
    <row r="27" spans="2:24" s="2" customFormat="1" ht="12.75">
      <c r="B27" s="1"/>
      <c r="C27" s="1"/>
      <c r="D27" s="1"/>
      <c r="E27" s="1"/>
      <c r="F27" s="1"/>
      <c r="G27" s="1"/>
      <c r="H27" s="1"/>
      <c r="I27" s="1"/>
      <c r="K27" s="105"/>
      <c r="L27" s="318" t="s">
        <v>118</v>
      </c>
      <c r="M27" s="360"/>
      <c r="R27" s="383"/>
      <c r="S27" s="382"/>
      <c r="T27" s="382"/>
      <c r="U27" s="382"/>
      <c r="V27" s="3"/>
      <c r="W27" s="3"/>
      <c r="X27" s="3"/>
    </row>
    <row r="28" spans="2:24" ht="12.75">
      <c r="B28" s="66"/>
      <c r="C28" s="69"/>
      <c r="D28" s="60"/>
      <c r="E28" s="60"/>
      <c r="F28" s="60"/>
      <c r="K28" s="410" t="s">
        <v>106</v>
      </c>
      <c r="L28" s="358" t="s">
        <v>150</v>
      </c>
      <c r="O28" s="2"/>
      <c r="P28" s="2"/>
      <c r="R28" s="383"/>
      <c r="S28" s="382"/>
      <c r="T28" s="382"/>
      <c r="U28" s="382"/>
      <c r="V28" s="386"/>
      <c r="W28" s="386"/>
      <c r="X28" s="386"/>
    </row>
    <row r="29" spans="11:24" ht="12.75">
      <c r="K29" s="336" t="s">
        <v>107</v>
      </c>
      <c r="L29" s="334">
        <v>54021</v>
      </c>
      <c r="O29" s="363"/>
      <c r="P29" s="2"/>
      <c r="R29" s="383"/>
      <c r="S29" s="382"/>
      <c r="T29" s="382"/>
      <c r="U29" s="382"/>
      <c r="V29" s="386"/>
      <c r="W29" s="386"/>
      <c r="X29" s="386"/>
    </row>
    <row r="30" spans="11:24" ht="12.75">
      <c r="K30" s="336" t="s">
        <v>113</v>
      </c>
      <c r="L30" s="334">
        <v>35087</v>
      </c>
      <c r="O30" s="374">
        <v>42705</v>
      </c>
      <c r="R30" s="381"/>
      <c r="S30" s="382"/>
      <c r="T30" s="382"/>
      <c r="U30" s="382"/>
      <c r="V30" s="386"/>
      <c r="W30" s="386"/>
      <c r="X30" s="386"/>
    </row>
    <row r="31" spans="11:24" ht="12.75">
      <c r="K31" s="336" t="s">
        <v>114</v>
      </c>
      <c r="L31" s="334">
        <v>32778</v>
      </c>
      <c r="R31" s="383"/>
      <c r="S31" s="382"/>
      <c r="T31" s="382"/>
      <c r="U31" s="382"/>
      <c r="V31" s="386"/>
      <c r="W31" s="386"/>
      <c r="X31" s="386"/>
    </row>
    <row r="32" spans="11:24" ht="12.75">
      <c r="K32" s="337" t="s">
        <v>115</v>
      </c>
      <c r="L32" s="334">
        <v>21827</v>
      </c>
      <c r="O32" s="1">
        <v>10</v>
      </c>
      <c r="R32" s="383"/>
      <c r="S32" s="382"/>
      <c r="T32" s="382"/>
      <c r="U32" s="382"/>
      <c r="V32" s="386"/>
      <c r="W32" s="386"/>
      <c r="X32" s="386"/>
    </row>
    <row r="33" spans="5:24" ht="12.75">
      <c r="E33" s="469">
        <v>2016</v>
      </c>
      <c r="F33" s="469"/>
      <c r="K33" s="337" t="s">
        <v>146</v>
      </c>
      <c r="L33" s="334">
        <v>53287</v>
      </c>
      <c r="O33" s="364"/>
      <c r="R33" s="381"/>
      <c r="S33" s="382"/>
      <c r="T33" s="382"/>
      <c r="U33" s="382"/>
      <c r="V33" s="386"/>
      <c r="W33" s="386"/>
      <c r="X33" s="386"/>
    </row>
    <row r="34" spans="5:24" ht="11.25">
      <c r="E34" s="50" t="s">
        <v>40</v>
      </c>
      <c r="F34" s="51" t="s">
        <v>41</v>
      </c>
      <c r="K34" s="142" t="s">
        <v>100</v>
      </c>
      <c r="L34" s="364">
        <f>SUM(L29:L33)</f>
        <v>197000</v>
      </c>
      <c r="M34" s="359"/>
      <c r="R34" s="386"/>
      <c r="S34" s="386"/>
      <c r="T34" s="386"/>
      <c r="U34" s="386"/>
      <c r="V34" s="386"/>
      <c r="W34" s="386"/>
      <c r="X34" s="386"/>
    </row>
    <row r="35" spans="3:24" ht="12.75">
      <c r="C35" s="453" t="s">
        <v>32</v>
      </c>
      <c r="D35" s="454"/>
      <c r="E35" s="331">
        <v>167000</v>
      </c>
      <c r="F35" s="341">
        <v>135000</v>
      </c>
      <c r="K35" s="391"/>
      <c r="L35" s="392"/>
      <c r="R35" s="386"/>
      <c r="S35" s="386"/>
      <c r="T35" s="386"/>
      <c r="U35" s="386"/>
      <c r="V35" s="386"/>
      <c r="W35" s="386"/>
      <c r="X35" s="386"/>
    </row>
    <row r="36" spans="3:24" ht="11.25">
      <c r="C36" s="453" t="s">
        <v>45</v>
      </c>
      <c r="D36" s="454"/>
      <c r="E36" s="331">
        <v>177000</v>
      </c>
      <c r="F36" s="341">
        <v>137000</v>
      </c>
      <c r="R36" s="386"/>
      <c r="S36" s="386"/>
      <c r="T36" s="386"/>
      <c r="U36" s="386"/>
      <c r="V36" s="386"/>
      <c r="W36" s="386"/>
      <c r="X36" s="386"/>
    </row>
    <row r="37" spans="3:24" ht="13.5" thickBot="1">
      <c r="C37" s="453" t="s">
        <v>26</v>
      </c>
      <c r="D37" s="454"/>
      <c r="E37" s="331">
        <v>440000</v>
      </c>
      <c r="F37" s="341">
        <v>325000</v>
      </c>
      <c r="R37" s="386"/>
      <c r="S37" s="387"/>
      <c r="T37" s="387"/>
      <c r="U37" s="387"/>
      <c r="V37" s="388"/>
      <c r="W37" s="388"/>
      <c r="X37" s="386"/>
    </row>
    <row r="38" spans="10:24" ht="11.25">
      <c r="J38" s="389"/>
      <c r="K38" s="390"/>
      <c r="R38" s="386"/>
      <c r="S38" s="386"/>
      <c r="T38" s="386"/>
      <c r="U38" s="386"/>
      <c r="V38" s="386"/>
      <c r="W38" s="386"/>
      <c r="X38" s="386"/>
    </row>
    <row r="39" spans="5:24" ht="12.75">
      <c r="E39" s="469">
        <v>2017</v>
      </c>
      <c r="F39" s="469"/>
      <c r="J39" s="470"/>
      <c r="K39" s="471"/>
      <c r="R39" s="386"/>
      <c r="S39" s="387"/>
      <c r="T39" s="387"/>
      <c r="U39" s="387"/>
      <c r="V39" s="388"/>
      <c r="W39" s="388"/>
      <c r="X39" s="386"/>
    </row>
    <row r="40" spans="5:24" ht="12.75" customHeight="1">
      <c r="E40" s="50" t="s">
        <v>40</v>
      </c>
      <c r="F40" s="51" t="s">
        <v>41</v>
      </c>
      <c r="J40" s="470"/>
      <c r="K40" s="471"/>
      <c r="R40" s="386"/>
      <c r="S40" s="386"/>
      <c r="T40" s="386"/>
      <c r="U40" s="386"/>
      <c r="V40" s="386"/>
      <c r="W40" s="386"/>
      <c r="X40" s="386"/>
    </row>
    <row r="41" spans="3:24" ht="12.75" customHeight="1">
      <c r="C41" s="453" t="s">
        <v>32</v>
      </c>
      <c r="D41" s="454"/>
      <c r="E41" s="331">
        <v>159000</v>
      </c>
      <c r="F41" s="341">
        <v>126500</v>
      </c>
      <c r="J41" s="470"/>
      <c r="K41" s="471"/>
      <c r="R41" s="386"/>
      <c r="S41" s="386"/>
      <c r="T41" s="386"/>
      <c r="U41" s="386"/>
      <c r="V41" s="386"/>
      <c r="W41" s="386"/>
      <c r="X41" s="386"/>
    </row>
    <row r="42" spans="3:24" ht="12.75" customHeight="1">
      <c r="C42" s="453" t="s">
        <v>45</v>
      </c>
      <c r="D42" s="454"/>
      <c r="E42" s="331">
        <v>178000</v>
      </c>
      <c r="F42" s="341">
        <v>138500</v>
      </c>
      <c r="I42" s="367"/>
      <c r="J42" s="470"/>
      <c r="K42" s="471"/>
      <c r="L42" s="367"/>
      <c r="R42" s="386"/>
      <c r="S42" s="386"/>
      <c r="T42" s="386"/>
      <c r="U42" s="386"/>
      <c r="V42" s="386"/>
      <c r="W42" s="386"/>
      <c r="X42" s="386"/>
    </row>
    <row r="43" spans="3:12" ht="12.75" customHeight="1">
      <c r="C43" s="453" t="s">
        <v>26</v>
      </c>
      <c r="D43" s="454"/>
      <c r="E43" s="331">
        <v>405000</v>
      </c>
      <c r="F43" s="341">
        <v>309000</v>
      </c>
      <c r="J43" s="470"/>
      <c r="K43" s="471"/>
      <c r="L43" s="365"/>
    </row>
    <row r="44" spans="10:11" ht="12.75" customHeight="1" thickBot="1">
      <c r="J44" s="472"/>
      <c r="K44" s="473"/>
    </row>
    <row r="47" ht="11.25">
      <c r="L47" s="369"/>
    </row>
  </sheetData>
  <sheetProtection/>
  <mergeCells count="27">
    <mergeCell ref="E33:F33"/>
    <mergeCell ref="E39:F39"/>
    <mergeCell ref="C41:D41"/>
    <mergeCell ref="C42:D42"/>
    <mergeCell ref="C43:D43"/>
    <mergeCell ref="J39:K44"/>
    <mergeCell ref="C35:D35"/>
    <mergeCell ref="C36:D36"/>
    <mergeCell ref="C37:D37"/>
    <mergeCell ref="B3:C3"/>
    <mergeCell ref="R4:S4"/>
    <mergeCell ref="R10:U11"/>
    <mergeCell ref="R13:S13"/>
    <mergeCell ref="K22:L22"/>
    <mergeCell ref="K16:L16"/>
    <mergeCell ref="K3:L3"/>
    <mergeCell ref="O3:P3"/>
    <mergeCell ref="P17:Q24"/>
    <mergeCell ref="S5:U9"/>
    <mergeCell ref="B4:C4"/>
    <mergeCell ref="B5:C5"/>
    <mergeCell ref="B6:C6"/>
    <mergeCell ref="R14:S14"/>
    <mergeCell ref="R15:S15"/>
    <mergeCell ref="K9:L9"/>
    <mergeCell ref="O11:P11"/>
    <mergeCell ref="O7:P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tabSelected="1" zoomScalePageLayoutView="0" workbookViewId="0" topLeftCell="H1">
      <pane ySplit="15" topLeftCell="A16" activePane="bottomLeft" state="frozen"/>
      <selection pane="topLeft" activeCell="A1" sqref="A1"/>
      <selection pane="bottomLeft" activeCell="Q8" sqref="Q8"/>
    </sheetView>
  </sheetViews>
  <sheetFormatPr defaultColWidth="8.875" defaultRowHeight="12.75"/>
  <cols>
    <col min="1" max="1" width="5.625" style="73" customWidth="1"/>
    <col min="2" max="2" width="25.625" style="6" customWidth="1"/>
    <col min="3" max="11" width="8.625" style="6" customWidth="1"/>
    <col min="12" max="12" width="12.75390625" style="6" customWidth="1"/>
    <col min="13" max="13" width="7.625" style="6" customWidth="1"/>
    <col min="14" max="14" width="12.875" style="73" customWidth="1"/>
    <col min="15" max="15" width="27.75390625" style="6" customWidth="1"/>
    <col min="16" max="16" width="14.00390625" style="263" customWidth="1"/>
    <col min="17" max="17" width="8.125" style="6" customWidth="1"/>
    <col min="18" max="18" width="19.75390625" style="6" customWidth="1"/>
    <col min="19" max="19" width="17.00390625" style="6" customWidth="1"/>
    <col min="20" max="20" width="18.75390625" style="6" customWidth="1"/>
    <col min="21" max="16384" width="8.875" style="6" customWidth="1"/>
  </cols>
  <sheetData>
    <row r="1" spans="1:14" ht="11.25">
      <c r="A1" s="6"/>
      <c r="B1" s="5"/>
      <c r="E1" s="7"/>
      <c r="F1" s="7"/>
      <c r="G1" s="7"/>
      <c r="H1" s="7"/>
      <c r="I1" s="8"/>
      <c r="J1" s="8"/>
      <c r="K1" s="7"/>
      <c r="L1" s="8"/>
      <c r="M1" s="7"/>
      <c r="N1" s="6"/>
    </row>
    <row r="2" spans="1:16" ht="15" customHeight="1">
      <c r="A2" s="6"/>
      <c r="B2" s="511" t="s">
        <v>151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106"/>
      <c r="O2" s="106"/>
      <c r="P2" s="108"/>
    </row>
    <row r="3" spans="1:16" ht="4.5" customHeight="1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06"/>
      <c r="O3" s="106"/>
      <c r="P3" s="108"/>
    </row>
    <row r="4" spans="2:16" ht="13.5" customHeight="1">
      <c r="B4" s="176" t="s">
        <v>24</v>
      </c>
      <c r="C4" s="519" t="s">
        <v>32</v>
      </c>
      <c r="D4" s="520"/>
      <c r="E4" s="520"/>
      <c r="F4" s="520" t="s">
        <v>45</v>
      </c>
      <c r="G4" s="520" t="s">
        <v>45</v>
      </c>
      <c r="H4" s="520"/>
      <c r="I4" s="520" t="s">
        <v>26</v>
      </c>
      <c r="J4" s="520"/>
      <c r="K4" s="517"/>
      <c r="L4" s="516" t="s">
        <v>27</v>
      </c>
      <c r="M4" s="517"/>
      <c r="N4" s="110"/>
      <c r="O4" s="106"/>
      <c r="P4" s="108"/>
    </row>
    <row r="5" spans="2:16" ht="13.5" customHeight="1">
      <c r="B5" s="122" t="s">
        <v>70</v>
      </c>
      <c r="C5" s="522">
        <f>'Informações da Frota e Custos'!E21</f>
        <v>41</v>
      </c>
      <c r="D5" s="503"/>
      <c r="E5" s="503"/>
      <c r="F5" s="503">
        <f>'Informações da Frota e Custos'!D21</f>
        <v>156</v>
      </c>
      <c r="G5" s="503"/>
      <c r="H5" s="503"/>
      <c r="I5" s="503">
        <f>'Informações da Frota e Custos'!F21</f>
        <v>20</v>
      </c>
      <c r="J5" s="503"/>
      <c r="K5" s="504"/>
      <c r="L5" s="515">
        <f>SUM(C5:K5)</f>
        <v>217</v>
      </c>
      <c r="M5" s="504"/>
      <c r="N5" s="114"/>
      <c r="O5" s="107"/>
      <c r="P5" s="275"/>
    </row>
    <row r="6" spans="2:16" ht="13.5" customHeight="1">
      <c r="B6" s="122" t="s">
        <v>71</v>
      </c>
      <c r="C6" s="522">
        <f>'Informações da Frota e Custos'!E23</f>
        <v>36</v>
      </c>
      <c r="D6" s="503"/>
      <c r="E6" s="503"/>
      <c r="F6" s="503">
        <f>'Informações da Frota e Custos'!D23</f>
        <v>142</v>
      </c>
      <c r="G6" s="503"/>
      <c r="H6" s="503"/>
      <c r="I6" s="503">
        <f>'Informações da Frota e Custos'!F23</f>
        <v>17</v>
      </c>
      <c r="J6" s="503"/>
      <c r="K6" s="504"/>
      <c r="L6" s="515">
        <f>SUM(C6:K6)</f>
        <v>195</v>
      </c>
      <c r="M6" s="504"/>
      <c r="N6" s="114"/>
      <c r="O6" s="107"/>
      <c r="P6" s="275"/>
    </row>
    <row r="7" spans="2:17" ht="13.5" customHeight="1">
      <c r="B7" s="122" t="s">
        <v>72</v>
      </c>
      <c r="C7" s="475">
        <f>'Km, Passageiros e Pessoal'!I9</f>
        <v>227494.08333333334</v>
      </c>
      <c r="D7" s="476"/>
      <c r="E7" s="155">
        <f>C7/L7</f>
        <v>0.1715626128069228</v>
      </c>
      <c r="F7" s="505">
        <f>'Km, Passageiros e Pessoal'!J9</f>
        <v>997869</v>
      </c>
      <c r="G7" s="476"/>
      <c r="H7" s="155">
        <f>F7/L7</f>
        <v>0.7525339137202378</v>
      </c>
      <c r="I7" s="505">
        <f>'Km, Passageiros e Pessoal'!K9</f>
        <v>100648.91666666667</v>
      </c>
      <c r="J7" s="476"/>
      <c r="K7" s="156">
        <f>I7/L7</f>
        <v>0.07590347347283936</v>
      </c>
      <c r="L7" s="506">
        <f>SUM(C7,F7,I7)</f>
        <v>1326012</v>
      </c>
      <c r="M7" s="507"/>
      <c r="N7" s="110"/>
      <c r="O7" s="523">
        <v>1392824</v>
      </c>
      <c r="P7" s="108"/>
      <c r="Q7" s="6">
        <f>O7-L7</f>
        <v>66812</v>
      </c>
    </row>
    <row r="8" spans="2:17" ht="13.5" customHeight="1">
      <c r="B8" s="122" t="s">
        <v>124</v>
      </c>
      <c r="C8" s="475">
        <f>E8*C7</f>
        <v>200194.79333333333</v>
      </c>
      <c r="D8" s="476"/>
      <c r="E8" s="155">
        <f>'Informações da Frota e Custos'!U15</f>
        <v>0.88</v>
      </c>
      <c r="F8" s="475">
        <f>H8*F7</f>
        <v>608700.09</v>
      </c>
      <c r="G8" s="476"/>
      <c r="H8" s="155">
        <f>'Informações da Frota e Custos'!U14</f>
        <v>0.61</v>
      </c>
      <c r="I8" s="475">
        <f>K8*I7</f>
        <v>50324.458333333336</v>
      </c>
      <c r="J8" s="476"/>
      <c r="K8" s="156">
        <f>'Informações da Frota e Custos'!U13</f>
        <v>0.5</v>
      </c>
      <c r="L8" s="482">
        <f>(I8+F8+C8)/L7</f>
        <v>0.6479725233758569</v>
      </c>
      <c r="M8" s="483"/>
      <c r="N8" s="110"/>
      <c r="O8" s="106"/>
      <c r="P8" s="108"/>
      <c r="Q8" s="525">
        <f>Q7/L7</f>
        <v>0.0503856677013481</v>
      </c>
    </row>
    <row r="9" spans="2:16" ht="13.5" customHeight="1">
      <c r="B9" s="122" t="s">
        <v>125</v>
      </c>
      <c r="C9" s="475">
        <f>E9*C7</f>
        <v>27299.29</v>
      </c>
      <c r="D9" s="476"/>
      <c r="E9" s="155">
        <f>'Informações da Frota e Custos'!T15</f>
        <v>0.12</v>
      </c>
      <c r="F9" s="475">
        <f>H9*F7</f>
        <v>389168.91000000003</v>
      </c>
      <c r="G9" s="476"/>
      <c r="H9" s="155">
        <f>'Informações da Frota e Custos'!T14</f>
        <v>0.39</v>
      </c>
      <c r="I9" s="475">
        <f>K9*I7</f>
        <v>50324.458333333336</v>
      </c>
      <c r="J9" s="476"/>
      <c r="K9" s="156">
        <f>'Informações da Frota e Custos'!T13</f>
        <v>0.5</v>
      </c>
      <c r="L9" s="482">
        <f>(I9+F9+C9)/L7</f>
        <v>0.3520274766241432</v>
      </c>
      <c r="M9" s="483"/>
      <c r="N9" s="110"/>
      <c r="O9" s="524"/>
      <c r="P9" s="108"/>
    </row>
    <row r="10" spans="2:16" ht="13.5" customHeight="1">
      <c r="B10" s="122" t="s">
        <v>73</v>
      </c>
      <c r="C10" s="514">
        <f>C7/C6</f>
        <v>6319.280092592593</v>
      </c>
      <c r="D10" s="510"/>
      <c r="E10" s="510"/>
      <c r="F10" s="510">
        <f>F7/F6</f>
        <v>7027.2464788732395</v>
      </c>
      <c r="G10" s="510"/>
      <c r="H10" s="510"/>
      <c r="I10" s="510">
        <f>I7/I6</f>
        <v>5920.524509803922</v>
      </c>
      <c r="J10" s="510"/>
      <c r="K10" s="521"/>
      <c r="L10" s="508">
        <f>L7/L6</f>
        <v>6800.0615384615385</v>
      </c>
      <c r="M10" s="509"/>
      <c r="N10" s="110"/>
      <c r="O10" s="109"/>
      <c r="P10" s="276"/>
    </row>
    <row r="11" spans="2:16" ht="13.5" customHeight="1">
      <c r="B11" s="122" t="s">
        <v>74</v>
      </c>
      <c r="C11" s="514">
        <f>C7/C5</f>
        <v>5548.636178861789</v>
      </c>
      <c r="D11" s="510"/>
      <c r="E11" s="510"/>
      <c r="F11" s="510">
        <f>F7/F5</f>
        <v>6396.596153846154</v>
      </c>
      <c r="G11" s="510"/>
      <c r="H11" s="510"/>
      <c r="I11" s="510">
        <f>I7/I5</f>
        <v>5032.445833333333</v>
      </c>
      <c r="J11" s="510"/>
      <c r="K11" s="521"/>
      <c r="L11" s="508">
        <f>L7/L5</f>
        <v>6110.654377880184</v>
      </c>
      <c r="M11" s="509"/>
      <c r="N11" s="110"/>
      <c r="O11" s="106"/>
      <c r="P11" s="108"/>
    </row>
    <row r="12" spans="2:16" ht="13.5" customHeight="1">
      <c r="B12" s="512" t="s">
        <v>75</v>
      </c>
      <c r="C12" s="512"/>
      <c r="D12" s="512"/>
      <c r="E12" s="512"/>
      <c r="F12" s="512"/>
      <c r="G12" s="512"/>
      <c r="H12" s="512"/>
      <c r="I12" s="512"/>
      <c r="J12" s="512"/>
      <c r="K12" s="513"/>
      <c r="L12" s="477">
        <f>'Km, Passageiros e Pessoal'!C26</f>
        <v>2190655.2916666665</v>
      </c>
      <c r="M12" s="478"/>
      <c r="N12" s="302"/>
      <c r="O12" s="106"/>
      <c r="P12" s="108"/>
    </row>
    <row r="13" spans="2:16" ht="9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11"/>
      <c r="M13" s="111"/>
      <c r="N13" s="110"/>
      <c r="O13" s="110"/>
      <c r="P13" s="108"/>
    </row>
    <row r="14" spans="2:20" ht="13.5" customHeight="1">
      <c r="B14" s="496" t="s">
        <v>28</v>
      </c>
      <c r="C14" s="498" t="s">
        <v>32</v>
      </c>
      <c r="D14" s="480"/>
      <c r="E14" s="481"/>
      <c r="F14" s="498" t="s">
        <v>45</v>
      </c>
      <c r="G14" s="480" t="s">
        <v>45</v>
      </c>
      <c r="H14" s="502"/>
      <c r="I14" s="479" t="s">
        <v>26</v>
      </c>
      <c r="J14" s="480"/>
      <c r="K14" s="481"/>
      <c r="L14" s="498" t="s">
        <v>76</v>
      </c>
      <c r="M14" s="481"/>
      <c r="N14" s="110"/>
      <c r="O14" s="106"/>
      <c r="P14" s="108"/>
      <c r="T14" s="6">
        <v>12</v>
      </c>
    </row>
    <row r="15" spans="2:16" ht="13.5" customHeight="1">
      <c r="B15" s="497"/>
      <c r="C15" s="177" t="s">
        <v>77</v>
      </c>
      <c r="D15" s="178" t="s">
        <v>78</v>
      </c>
      <c r="E15" s="179" t="s">
        <v>79</v>
      </c>
      <c r="F15" s="177" t="s">
        <v>77</v>
      </c>
      <c r="G15" s="178" t="s">
        <v>78</v>
      </c>
      <c r="H15" s="180" t="s">
        <v>79</v>
      </c>
      <c r="I15" s="181" t="s">
        <v>77</v>
      </c>
      <c r="J15" s="178" t="s">
        <v>78</v>
      </c>
      <c r="K15" s="178" t="s">
        <v>79</v>
      </c>
      <c r="L15" s="177" t="s">
        <v>80</v>
      </c>
      <c r="M15" s="179" t="s">
        <v>2</v>
      </c>
      <c r="N15" s="110"/>
      <c r="O15" s="106"/>
      <c r="P15" s="108"/>
    </row>
    <row r="16" spans="2:14" s="113" customFormat="1" ht="9.75" customHeight="1">
      <c r="B16" s="16"/>
      <c r="C16" s="111"/>
      <c r="D16" s="111"/>
      <c r="E16" s="111"/>
      <c r="F16" s="111"/>
      <c r="G16" s="111"/>
      <c r="H16" s="111"/>
      <c r="I16" s="111"/>
      <c r="J16" s="111"/>
      <c r="K16" s="111"/>
      <c r="L16" s="16"/>
      <c r="M16" s="16"/>
      <c r="N16" s="114"/>
    </row>
    <row r="17" spans="2:14" ht="15" customHeight="1">
      <c r="B17" s="182" t="s">
        <v>83</v>
      </c>
      <c r="C17" s="183"/>
      <c r="D17" s="184"/>
      <c r="E17" s="185">
        <f>SUM(E18:E25)</f>
        <v>0.8915794755999998</v>
      </c>
      <c r="F17" s="186"/>
      <c r="G17" s="187"/>
      <c r="H17" s="188">
        <f>SUM(H18:H25)</f>
        <v>1.05509505454</v>
      </c>
      <c r="I17" s="189"/>
      <c r="J17" s="187"/>
      <c r="K17" s="185">
        <f>SUM(K18:K25)</f>
        <v>1.9440877608809526</v>
      </c>
      <c r="L17" s="190">
        <f aca="true" t="shared" si="0" ref="L17:L25">($E17*$E$7)+($H17*$H$7)+($K17*$K$7)</f>
        <v>1.094519528885715</v>
      </c>
      <c r="M17" s="230">
        <f aca="true" t="shared" si="1" ref="M17:M25">L17/$L$51</f>
        <v>0.19319966071040295</v>
      </c>
      <c r="N17" s="110"/>
    </row>
    <row r="18" spans="1:14" s="8" customFormat="1" ht="15" customHeight="1">
      <c r="A18" s="113"/>
      <c r="B18" s="144" t="s">
        <v>132</v>
      </c>
      <c r="C18" s="152">
        <v>0.3368</v>
      </c>
      <c r="D18" s="148">
        <f>'Informações da Frota e Custos'!P5</f>
        <v>2.223</v>
      </c>
      <c r="E18" s="116">
        <f>E8*(C18*D18)</f>
        <v>0.6588616319999999</v>
      </c>
      <c r="F18" s="153">
        <v>0.3982</v>
      </c>
      <c r="G18" s="148">
        <f>'Informações da Frota e Custos'!P5</f>
        <v>2.223</v>
      </c>
      <c r="H18" s="116">
        <f>H8*(F18*G18)</f>
        <v>0.539971146</v>
      </c>
      <c r="I18" s="154">
        <v>0.7938</v>
      </c>
      <c r="J18" s="148">
        <f>'Informações da Frota e Custos'!P5</f>
        <v>2.223</v>
      </c>
      <c r="K18" s="116">
        <f>K8*(I18*J18)</f>
        <v>0.8823087</v>
      </c>
      <c r="L18" s="145">
        <f t="shared" si="0"/>
        <v>0.5863529178648406</v>
      </c>
      <c r="M18" s="231">
        <f t="shared" si="1"/>
        <v>0.10350037783553381</v>
      </c>
      <c r="N18" s="114"/>
    </row>
    <row r="19" spans="1:14" s="8" customFormat="1" ht="15" customHeight="1">
      <c r="A19" s="113"/>
      <c r="B19" s="144" t="s">
        <v>133</v>
      </c>
      <c r="C19" s="152">
        <v>0.3065</v>
      </c>
      <c r="D19" s="148">
        <f>'Informações da Frota e Custos'!P9</f>
        <v>2.2748</v>
      </c>
      <c r="E19" s="116">
        <f>E9*(C19*D19)</f>
        <v>0.083667144</v>
      </c>
      <c r="F19" s="153">
        <v>0.3969</v>
      </c>
      <c r="G19" s="148">
        <f>'Informações da Frota e Custos'!P9</f>
        <v>2.2748</v>
      </c>
      <c r="H19" s="116">
        <f>H9*(F19*G19)</f>
        <v>0.3521185668</v>
      </c>
      <c r="I19" s="154">
        <v>0.6718</v>
      </c>
      <c r="J19" s="148">
        <f>'Informações da Frota e Custos'!P9</f>
        <v>2.2748</v>
      </c>
      <c r="K19" s="116">
        <f>K9*(I19*J19)</f>
        <v>0.76410532</v>
      </c>
      <c r="L19" s="145">
        <f t="shared" si="0"/>
        <v>0.33733356488537347</v>
      </c>
      <c r="M19" s="231">
        <f t="shared" si="1"/>
        <v>0.05954460250557111</v>
      </c>
      <c r="N19" s="414" t="s">
        <v>118</v>
      </c>
    </row>
    <row r="20" spans="1:14" s="8" customFormat="1" ht="15" customHeight="1">
      <c r="A20" s="113"/>
      <c r="B20" s="144" t="s">
        <v>134</v>
      </c>
      <c r="C20" s="152">
        <v>0.0168</v>
      </c>
      <c r="D20" s="148">
        <f>'Informações da Frota e Custos'!P12</f>
        <v>1.081</v>
      </c>
      <c r="E20" s="116">
        <f>E9*(C20*D20)</f>
        <v>0.002179296</v>
      </c>
      <c r="F20" s="153">
        <v>0.0198</v>
      </c>
      <c r="G20" s="148">
        <f>'Informações da Frota e Custos'!P12</f>
        <v>1.081</v>
      </c>
      <c r="H20" s="116">
        <f>H9*(F20*G20)</f>
        <v>0.008347482</v>
      </c>
      <c r="I20" s="154">
        <v>0.0335</v>
      </c>
      <c r="J20" s="148">
        <f>'Informações da Frota e Custos'!P12</f>
        <v>1.081</v>
      </c>
      <c r="K20" s="116">
        <f>K9*(I20*J20)</f>
        <v>0.01810675</v>
      </c>
      <c r="L20" s="145">
        <f t="shared" si="0"/>
        <v>0.008030014233313247</v>
      </c>
      <c r="M20" s="231">
        <f t="shared" si="1"/>
        <v>0.0014174219686653175</v>
      </c>
      <c r="N20" s="114"/>
    </row>
    <row r="21" spans="1:14" s="8" customFormat="1" ht="15" customHeight="1">
      <c r="A21" s="113"/>
      <c r="B21" s="126" t="s">
        <v>0</v>
      </c>
      <c r="C21" s="157">
        <v>0.05</v>
      </c>
      <c r="D21" s="323">
        <f>E18+E19+E20</f>
        <v>0.7447080719999999</v>
      </c>
      <c r="E21" s="117">
        <f>C21*D21</f>
        <v>0.037235403599999994</v>
      </c>
      <c r="F21" s="157">
        <v>0.05</v>
      </c>
      <c r="G21" s="323">
        <f>H18+H19+H20</f>
        <v>0.9004371948</v>
      </c>
      <c r="H21" s="118">
        <f>0.05*G21</f>
        <v>0.04502185974</v>
      </c>
      <c r="I21" s="157">
        <v>0.05</v>
      </c>
      <c r="J21" s="323">
        <f>K18+K19+K20</f>
        <v>1.66452077</v>
      </c>
      <c r="K21" s="117">
        <f>0.05*J21</f>
        <v>0.0832260385</v>
      </c>
      <c r="L21" s="115">
        <f t="shared" si="0"/>
        <v>0.046585824849176366</v>
      </c>
      <c r="M21" s="232">
        <f t="shared" si="1"/>
        <v>0.008223120115488513</v>
      </c>
      <c r="N21" s="114"/>
    </row>
    <row r="22" spans="1:14" s="8" customFormat="1" ht="15" customHeight="1">
      <c r="A22" s="113"/>
      <c r="B22" s="146" t="s">
        <v>62</v>
      </c>
      <c r="C22" s="158">
        <f>6*1/105000</f>
        <v>5.714285714285714E-05</v>
      </c>
      <c r="D22" s="163">
        <f>'Informações da Frota e Custos'!L17</f>
        <v>968.63</v>
      </c>
      <c r="E22" s="117">
        <f>C22*D22</f>
        <v>0.05535028571428571</v>
      </c>
      <c r="F22" s="158">
        <f>6*1/105000</f>
        <v>5.714285714285714E-05</v>
      </c>
      <c r="G22" s="163">
        <f>'Informações da Frota e Custos'!L17</f>
        <v>968.63</v>
      </c>
      <c r="H22" s="118">
        <f>F22*G22</f>
        <v>0.05535028571428571</v>
      </c>
      <c r="I22" s="157"/>
      <c r="J22" s="150"/>
      <c r="K22" s="117"/>
      <c r="L22" s="115">
        <f t="shared" si="0"/>
        <v>0.05114900677085735</v>
      </c>
      <c r="M22" s="232">
        <f t="shared" si="1"/>
        <v>0.009028592449021142</v>
      </c>
      <c r="N22" s="114"/>
    </row>
    <row r="23" spans="1:14" s="8" customFormat="1" ht="15" customHeight="1">
      <c r="A23" s="113"/>
      <c r="B23" s="146" t="s">
        <v>63</v>
      </c>
      <c r="C23" s="157"/>
      <c r="D23" s="175"/>
      <c r="E23" s="117"/>
      <c r="F23" s="160"/>
      <c r="G23" s="49"/>
      <c r="H23" s="118"/>
      <c r="I23" s="158">
        <f>10*1/105000</f>
        <v>9.523809523809524E-05</v>
      </c>
      <c r="J23" s="150">
        <f>'Informações da Frota e Custos'!L18</f>
        <v>1071.58</v>
      </c>
      <c r="K23" s="117">
        <f>I23*J23</f>
        <v>0.10205523809523809</v>
      </c>
      <c r="L23" s="115">
        <f t="shared" si="0"/>
        <v>0.007746347057526209</v>
      </c>
      <c r="M23" s="232">
        <f t="shared" si="1"/>
        <v>0.001367350315606255</v>
      </c>
      <c r="N23" s="114"/>
    </row>
    <row r="24" spans="1:14" s="8" customFormat="1" ht="15" customHeight="1">
      <c r="A24" s="113"/>
      <c r="B24" s="146" t="s">
        <v>64</v>
      </c>
      <c r="C24" s="158">
        <f>2.5*6/105000</f>
        <v>0.00014285714285714287</v>
      </c>
      <c r="D24" s="163">
        <f>'Informações da Frota e Custos'!L19</f>
        <v>380</v>
      </c>
      <c r="E24" s="117">
        <f>C24*D24</f>
        <v>0.05428571428571429</v>
      </c>
      <c r="F24" s="158">
        <f>2.5*6/105000</f>
        <v>0.00014285714285714287</v>
      </c>
      <c r="G24" s="163">
        <f>'Informações da Frota e Custos'!L19</f>
        <v>380</v>
      </c>
      <c r="H24" s="118">
        <f>F24*G24</f>
        <v>0.05428571428571429</v>
      </c>
      <c r="I24" s="157"/>
      <c r="J24" s="150"/>
      <c r="K24" s="117"/>
      <c r="L24" s="115">
        <f t="shared" si="0"/>
        <v>0.05016524001147444</v>
      </c>
      <c r="M24" s="232">
        <f t="shared" si="1"/>
        <v>0.008854942368675433</v>
      </c>
      <c r="N24" s="114"/>
    </row>
    <row r="25" spans="1:14" s="8" customFormat="1" ht="15" customHeight="1">
      <c r="A25" s="113"/>
      <c r="B25" s="147" t="s">
        <v>65</v>
      </c>
      <c r="C25" s="159"/>
      <c r="D25" s="149"/>
      <c r="E25" s="129"/>
      <c r="F25" s="161"/>
      <c r="G25" s="151"/>
      <c r="H25" s="130"/>
      <c r="I25" s="162">
        <f>2.5*10/105000</f>
        <v>0.0002380952380952381</v>
      </c>
      <c r="J25" s="151">
        <f>'Informações da Frota e Custos'!L20</f>
        <v>396</v>
      </c>
      <c r="K25" s="132">
        <f>I25*J25</f>
        <v>0.09428571428571429</v>
      </c>
      <c r="L25" s="192">
        <f t="shared" si="0"/>
        <v>0.007156613213153426</v>
      </c>
      <c r="M25" s="233">
        <f t="shared" si="1"/>
        <v>0.0012632531518413862</v>
      </c>
      <c r="N25" s="114"/>
    </row>
    <row r="26" spans="2:14" s="113" customFormat="1" ht="9.75" customHeight="1">
      <c r="B26" s="16"/>
      <c r="C26" s="111"/>
      <c r="D26" s="111"/>
      <c r="E26" s="111"/>
      <c r="F26" s="111"/>
      <c r="G26" s="111"/>
      <c r="H26" s="111"/>
      <c r="I26" s="111"/>
      <c r="J26" s="111"/>
      <c r="K26" s="111"/>
      <c r="L26" s="16"/>
      <c r="M26" s="234"/>
      <c r="N26" s="114"/>
    </row>
    <row r="27" spans="1:14" s="196" customFormat="1" ht="15" customHeight="1">
      <c r="A27" s="195"/>
      <c r="B27" s="201" t="s">
        <v>84</v>
      </c>
      <c r="C27" s="197"/>
      <c r="D27" s="198"/>
      <c r="E27" s="199">
        <f>SUM(E28:E40)</f>
        <v>2.542303499360474</v>
      </c>
      <c r="F27" s="202"/>
      <c r="G27" s="203"/>
      <c r="H27" s="200">
        <f>SUM(H28:H40)</f>
        <v>4.036047576989105</v>
      </c>
      <c r="I27" s="204"/>
      <c r="J27" s="203"/>
      <c r="K27" s="199">
        <f>SUM(K28:K40)</f>
        <v>5.212563156334031</v>
      </c>
      <c r="L27" s="205">
        <f aca="true" t="shared" si="2" ref="L27:L40">($E27*$E$7)+($H27*$H$7)+($K27*$K$7)</f>
        <v>3.86907855923346</v>
      </c>
      <c r="M27" s="235">
        <f aca="true" t="shared" si="3" ref="M27:M40">L27/$L$51</f>
        <v>0.6829523322135721</v>
      </c>
      <c r="N27" s="195"/>
    </row>
    <row r="28" spans="2:14" ht="15" customHeight="1">
      <c r="B28" s="123" t="s">
        <v>3</v>
      </c>
      <c r="C28" s="322">
        <v>0.0064</v>
      </c>
      <c r="D28" s="167">
        <f>'Informações da Frota e Custos'!H4</f>
        <v>279688.22</v>
      </c>
      <c r="E28" s="169">
        <f>(C28*D28)/C10</f>
        <v>0.2832608432878657</v>
      </c>
      <c r="F28" s="322">
        <v>0.0064</v>
      </c>
      <c r="G28" s="165">
        <f>'Informações da Frota e Custos'!H5</f>
        <v>310688.22</v>
      </c>
      <c r="H28" s="169">
        <f>(F28*G28)/F10</f>
        <v>0.282956434497915</v>
      </c>
      <c r="I28" s="322">
        <v>0.0064</v>
      </c>
      <c r="J28" s="165">
        <f>'Informações da Frota e Custos'!H6</f>
        <v>703284.2</v>
      </c>
      <c r="K28" s="169">
        <f>(I28*J28)/I10</f>
        <v>0.7602398862713374</v>
      </c>
      <c r="L28" s="145">
        <f t="shared" si="2"/>
        <v>0.31923613148598956</v>
      </c>
      <c r="M28" s="231">
        <f t="shared" si="3"/>
        <v>0.05635012502004863</v>
      </c>
      <c r="N28" s="110"/>
    </row>
    <row r="29" spans="2:14" ht="15" customHeight="1">
      <c r="B29" s="125" t="s">
        <v>4</v>
      </c>
      <c r="C29" s="164">
        <f>'Km, Passageiros e Pessoal'!O20</f>
        <v>3.3651888045995504</v>
      </c>
      <c r="D29" s="49">
        <f>'Informações da Frota e Custos'!L5</f>
        <v>1427.88</v>
      </c>
      <c r="E29" s="170">
        <f>(C29*D29*1.423893)/C$10</f>
        <v>1.082706878152816</v>
      </c>
      <c r="F29" s="164">
        <f>C29</f>
        <v>3.3651888045995504</v>
      </c>
      <c r="G29" s="150">
        <f>'Informações da Frota e Custos'!L4</f>
        <v>1805.59</v>
      </c>
      <c r="H29" s="170">
        <f>(F29*G29*1.423893)/F$10</f>
        <v>1.2311777113683204</v>
      </c>
      <c r="I29" s="164">
        <f>F29</f>
        <v>3.3651888045995504</v>
      </c>
      <c r="J29" s="150">
        <f>'Informações da Frota e Custos'!L4</f>
        <v>1805.59</v>
      </c>
      <c r="K29" s="170">
        <f>(I29*J29*1.423893)/I$10</f>
        <v>1.461321412106911</v>
      </c>
      <c r="L29" s="115">
        <f t="shared" si="2"/>
        <v>1.2231743735802003</v>
      </c>
      <c r="M29" s="232">
        <f t="shared" si="3"/>
        <v>0.21590923480912105</v>
      </c>
      <c r="N29" s="110"/>
    </row>
    <row r="30" spans="2:14" ht="15" customHeight="1">
      <c r="B30" s="125" t="s">
        <v>5</v>
      </c>
      <c r="C30" s="164">
        <v>0</v>
      </c>
      <c r="D30" s="49">
        <v>0</v>
      </c>
      <c r="E30" s="170">
        <f>(C30*D30*1.423893)/C$10</f>
        <v>0</v>
      </c>
      <c r="F30" s="160">
        <f>'Km, Passageiros e Pessoal'!R20</f>
        <v>3.71813123940953</v>
      </c>
      <c r="G30" s="150">
        <f>'Informações da Frota e Custos'!L6</f>
        <v>1081.61</v>
      </c>
      <c r="H30" s="170">
        <f>(F30*G30*1.423893)/F$10</f>
        <v>0.8148685892211783</v>
      </c>
      <c r="I30" s="160">
        <f>F30</f>
        <v>3.71813123940953</v>
      </c>
      <c r="J30" s="150">
        <f>'Informações da Frota e Custos'!L6</f>
        <v>1081.61</v>
      </c>
      <c r="K30" s="170">
        <f>(I30*J30*1.423893)/I$10</f>
        <v>0.9671917437157226</v>
      </c>
      <c r="L30" s="115">
        <f t="shared" si="2"/>
        <v>0.6866294614765778</v>
      </c>
      <c r="M30" s="232">
        <f t="shared" si="3"/>
        <v>0.12120074196035012</v>
      </c>
      <c r="N30" s="110"/>
    </row>
    <row r="31" spans="2:14" ht="15" customHeight="1">
      <c r="B31" s="125" t="s">
        <v>66</v>
      </c>
      <c r="C31" s="164">
        <f>1/5</f>
        <v>0.2</v>
      </c>
      <c r="D31" s="150">
        <f>'Informações da Frota e Custos'!L5</f>
        <v>1427.88</v>
      </c>
      <c r="E31" s="170">
        <f>(C31*D31*1.423893)/C$10</f>
        <v>0.06434746702312624</v>
      </c>
      <c r="F31" s="164">
        <f>1/5</f>
        <v>0.2</v>
      </c>
      <c r="G31" s="150">
        <f>'Informações da Frota e Custos'!L4</f>
        <v>1805.59</v>
      </c>
      <c r="H31" s="170">
        <f>(F31*G31*1.423893)/F$10</f>
        <v>0.07317138994908952</v>
      </c>
      <c r="I31" s="164">
        <f>1/5</f>
        <v>0.2</v>
      </c>
      <c r="J31" s="150">
        <f>'Informações da Frota e Custos'!L4</f>
        <v>1805.59</v>
      </c>
      <c r="K31" s="170">
        <f>(I31*J31*1.423893)/I$10</f>
        <v>0.08684929713955855</v>
      </c>
      <c r="L31" s="115">
        <f t="shared" si="2"/>
        <v>0.07269573534230007</v>
      </c>
      <c r="M31" s="232">
        <f t="shared" si="3"/>
        <v>0.012831923992735007</v>
      </c>
      <c r="N31" s="110"/>
    </row>
    <row r="32" spans="2:14" ht="15" customHeight="1">
      <c r="B32" s="124" t="s">
        <v>6</v>
      </c>
      <c r="C32" s="164">
        <v>0.135</v>
      </c>
      <c r="D32" s="168">
        <f>SUM(E29:E31)</f>
        <v>1.1470543451759423</v>
      </c>
      <c r="E32" s="170">
        <f>C32*D32</f>
        <v>0.15485233659875222</v>
      </c>
      <c r="F32" s="164">
        <v>0.135</v>
      </c>
      <c r="G32" s="168">
        <f>SUM(H29:H31)</f>
        <v>2.119217690538588</v>
      </c>
      <c r="H32" s="173">
        <f>F32*G32</f>
        <v>0.2860943882227094</v>
      </c>
      <c r="I32" s="164">
        <v>0.135</v>
      </c>
      <c r="J32" s="168">
        <f>SUM(K29:K31)</f>
        <v>2.5153624529621923</v>
      </c>
      <c r="K32" s="170">
        <f>I32*J32</f>
        <v>0.339573931149896</v>
      </c>
      <c r="L32" s="115">
        <f t="shared" si="2"/>
        <v>0.2676374420038755</v>
      </c>
      <c r="M32" s="232">
        <f t="shared" si="3"/>
        <v>0.04724215660289783</v>
      </c>
      <c r="N32" s="110"/>
    </row>
    <row r="33" spans="2:14" ht="15" customHeight="1">
      <c r="B33" s="124" t="s">
        <v>49</v>
      </c>
      <c r="C33" s="164">
        <f>C29+C30+C31+((C29+C30+C31)*C32)</f>
        <v>4.04648929322049</v>
      </c>
      <c r="D33" s="49">
        <f>'Informações da Frota e Custos'!L12</f>
        <v>560</v>
      </c>
      <c r="E33" s="171">
        <f>(C33*D33)/C10</f>
        <v>0.3585905310416135</v>
      </c>
      <c r="F33" s="164">
        <f>F29+F30+F31+((F29+F30+F31)*F32)</f>
        <v>8.266568249950307</v>
      </c>
      <c r="G33" s="49">
        <f>D33</f>
        <v>560</v>
      </c>
      <c r="H33" s="174">
        <f>(F33*G33)/F10</f>
        <v>0.6587613276252178</v>
      </c>
      <c r="I33" s="164">
        <f>I29+I30+I31+((I29+I30+I31)*I32)</f>
        <v>8.266568249950307</v>
      </c>
      <c r="J33" s="49">
        <f>G33</f>
        <v>560</v>
      </c>
      <c r="K33" s="171">
        <f>(I33*J33)/I10</f>
        <v>0.7819033959417704</v>
      </c>
      <c r="L33" s="115">
        <f t="shared" si="2"/>
        <v>0.6166101521908554</v>
      </c>
      <c r="M33" s="232">
        <f t="shared" si="3"/>
        <v>0.10884124864829352</v>
      </c>
      <c r="N33" s="128"/>
    </row>
    <row r="34" spans="2:14" ht="15" customHeight="1">
      <c r="B34" s="124" t="s">
        <v>7</v>
      </c>
      <c r="C34" s="164"/>
      <c r="D34" s="168"/>
      <c r="E34" s="172">
        <f>(((D29)*0.1/12)*(C29+C30+C31)*C6)/C7</f>
        <v>0.006713135193304215</v>
      </c>
      <c r="F34" s="160"/>
      <c r="G34" s="166"/>
      <c r="H34" s="172">
        <f>(((G29)*0.1/12)*(F29+F30+F31)*F6)/F7</f>
        <v>0.015594882336202234</v>
      </c>
      <c r="I34" s="157"/>
      <c r="J34" s="166"/>
      <c r="K34" s="172">
        <f>(((J29)*0.1/12)*(I29+I30+I31)*I6)/I7</f>
        <v>0.01851002927258366</v>
      </c>
      <c r="L34" s="115">
        <f t="shared" si="2"/>
        <v>0.014292376368231285</v>
      </c>
      <c r="M34" s="232">
        <f t="shared" si="3"/>
        <v>0.0025228259452792154</v>
      </c>
      <c r="N34" s="110"/>
    </row>
    <row r="35" spans="2:14" ht="15" customHeight="1">
      <c r="B35" s="124" t="s">
        <v>8</v>
      </c>
      <c r="C35" s="164">
        <f>C7/$L$7/C6</f>
        <v>0.004765628133525633</v>
      </c>
      <c r="D35" s="49">
        <f>'Informações da Frota e Custos'!L34</f>
        <v>197000</v>
      </c>
      <c r="E35" s="170">
        <f>D35*C35/C10</f>
        <v>0.14856577466870585</v>
      </c>
      <c r="F35" s="164">
        <f>F7/$L$7/F6</f>
        <v>0.005299534603663647</v>
      </c>
      <c r="G35" s="49">
        <f>D35</f>
        <v>197000</v>
      </c>
      <c r="H35" s="173">
        <f>G35*F35/F10</f>
        <v>0.14856577466870588</v>
      </c>
      <c r="I35" s="164">
        <f>I7/$L$7/I6</f>
        <v>0.004464910204284668</v>
      </c>
      <c r="J35" s="49">
        <f>G35</f>
        <v>197000</v>
      </c>
      <c r="K35" s="170">
        <f>J35*I35/I10</f>
        <v>0.14856577466870585</v>
      </c>
      <c r="L35" s="115">
        <f t="shared" si="2"/>
        <v>0.14856577466870585</v>
      </c>
      <c r="M35" s="232">
        <f t="shared" si="3"/>
        <v>0.026224161836923405</v>
      </c>
      <c r="N35" s="110"/>
    </row>
    <row r="36" spans="2:14" ht="15" customHeight="1">
      <c r="B36" s="124" t="s">
        <v>81</v>
      </c>
      <c r="C36" s="157"/>
      <c r="D36" s="49">
        <f>'Informações da Frota e Custos'!L26</f>
        <v>2488.08</v>
      </c>
      <c r="E36" s="170">
        <f>D36/12/C11</f>
        <v>0.037367741065793283</v>
      </c>
      <c r="F36" s="160"/>
      <c r="G36" s="49">
        <f>D36</f>
        <v>2488.08</v>
      </c>
      <c r="H36" s="173">
        <f>G36/12/F11</f>
        <v>0.03241411447795252</v>
      </c>
      <c r="I36" s="157"/>
      <c r="J36" s="49">
        <f>G36</f>
        <v>2488.08</v>
      </c>
      <c r="K36" s="170">
        <f>J36/12/I11</f>
        <v>0.04120064216620977</v>
      </c>
      <c r="L36" s="115">
        <f t="shared" si="2"/>
        <v>0.03393089956953632</v>
      </c>
      <c r="M36" s="232">
        <f t="shared" si="3"/>
        <v>0.005989329666056298</v>
      </c>
      <c r="N36" s="110"/>
    </row>
    <row r="37" spans="2:14" ht="15" customHeight="1">
      <c r="B37" s="124" t="s">
        <v>82</v>
      </c>
      <c r="C37" s="157"/>
      <c r="D37" s="49">
        <v>0</v>
      </c>
      <c r="E37" s="170">
        <f>D37/L7</f>
        <v>0</v>
      </c>
      <c r="F37" s="160"/>
      <c r="G37" s="150"/>
      <c r="H37" s="173">
        <f>G37/L7</f>
        <v>0</v>
      </c>
      <c r="I37" s="157"/>
      <c r="J37" s="150"/>
      <c r="K37" s="191">
        <f>J37/L7</f>
        <v>0</v>
      </c>
      <c r="L37" s="115">
        <f t="shared" si="2"/>
        <v>0</v>
      </c>
      <c r="M37" s="232">
        <f t="shared" si="3"/>
        <v>0</v>
      </c>
      <c r="N37" s="110"/>
    </row>
    <row r="38" spans="2:14" ht="15" customHeight="1">
      <c r="B38" s="126" t="s">
        <v>12</v>
      </c>
      <c r="C38" s="164">
        <v>0.105</v>
      </c>
      <c r="D38" s="168">
        <f>SUM(E29:E31)</f>
        <v>1.1470543451759423</v>
      </c>
      <c r="E38" s="170">
        <f>C38*D38</f>
        <v>0.12044070624347393</v>
      </c>
      <c r="F38" s="164">
        <v>0.105</v>
      </c>
      <c r="G38" s="168">
        <f>SUM(H29:H31)</f>
        <v>2.119217690538588</v>
      </c>
      <c r="H38" s="173">
        <f>F38*G38</f>
        <v>0.22251785750655173</v>
      </c>
      <c r="I38" s="164">
        <v>0.105</v>
      </c>
      <c r="J38" s="168">
        <f>SUM(K29:K31)</f>
        <v>2.5153624529621923</v>
      </c>
      <c r="K38" s="170">
        <f>I38*J38</f>
        <v>0.2641130575610302</v>
      </c>
      <c r="L38" s="115">
        <f t="shared" si="2"/>
        <v>0.2081624548919032</v>
      </c>
      <c r="M38" s="232">
        <f t="shared" si="3"/>
        <v>0.036743899580031644</v>
      </c>
      <c r="N38" s="114"/>
    </row>
    <row r="39" spans="2:14" ht="15" customHeight="1">
      <c r="B39" s="126" t="s">
        <v>10</v>
      </c>
      <c r="C39" s="164">
        <v>0.0033</v>
      </c>
      <c r="D39" s="49">
        <f>'Informações da Frota e Custos'!F5</f>
        <v>316500</v>
      </c>
      <c r="E39" s="170">
        <f>C39*D39/$C$11</f>
        <v>0.18823544495113242</v>
      </c>
      <c r="F39" s="164">
        <f>C39</f>
        <v>0.0033</v>
      </c>
      <c r="G39" s="49">
        <f>D39</f>
        <v>316500</v>
      </c>
      <c r="H39" s="170">
        <f>F39*G39/$F$11</f>
        <v>0.16328215427075096</v>
      </c>
      <c r="I39" s="164">
        <f>F39</f>
        <v>0.0033</v>
      </c>
      <c r="J39" s="49">
        <f>G39</f>
        <v>316500</v>
      </c>
      <c r="K39" s="170">
        <f>I39*J39/$I$11</f>
        <v>0.20754321747129256</v>
      </c>
      <c r="L39" s="115">
        <f t="shared" si="2"/>
        <v>0.1709227744545298</v>
      </c>
      <c r="M39" s="232">
        <f t="shared" si="3"/>
        <v>0.03017051880829796</v>
      </c>
      <c r="N39" s="114"/>
    </row>
    <row r="40" spans="2:14" ht="15" customHeight="1">
      <c r="B40" s="131" t="s">
        <v>11</v>
      </c>
      <c r="C40" s="164">
        <v>0.3778</v>
      </c>
      <c r="D40" s="49">
        <f>D29</f>
        <v>1427.88</v>
      </c>
      <c r="E40" s="319">
        <f>C40*D40/$C$11</f>
        <v>0.0972226411338903</v>
      </c>
      <c r="F40" s="164">
        <f>C40</f>
        <v>0.3778</v>
      </c>
      <c r="G40" s="150">
        <f>G29</f>
        <v>1805.59</v>
      </c>
      <c r="H40" s="319">
        <f>F40*G40/$F$11</f>
        <v>0.10664295284451165</v>
      </c>
      <c r="I40" s="164">
        <f>F40</f>
        <v>0.3778</v>
      </c>
      <c r="J40" s="150">
        <f>J29</f>
        <v>1805.59</v>
      </c>
      <c r="K40" s="319">
        <f>I40*J40/$I$11</f>
        <v>0.13555076886901418</v>
      </c>
      <c r="L40" s="192">
        <f t="shared" si="2"/>
        <v>0.10722098320075536</v>
      </c>
      <c r="M40" s="233">
        <f t="shared" si="3"/>
        <v>0.018926165343537447</v>
      </c>
      <c r="N40" s="114"/>
    </row>
    <row r="41" spans="2:14" s="113" customFormat="1" ht="9.75" customHeight="1">
      <c r="B41" s="16"/>
      <c r="C41" s="111"/>
      <c r="D41" s="111"/>
      <c r="E41" s="111"/>
      <c r="F41" s="111"/>
      <c r="G41" s="111"/>
      <c r="H41" s="111"/>
      <c r="I41" s="111"/>
      <c r="J41" s="111"/>
      <c r="K41" s="111"/>
      <c r="L41" s="16"/>
      <c r="M41" s="234"/>
      <c r="N41" s="114"/>
    </row>
    <row r="42" spans="1:14" s="196" customFormat="1" ht="15" customHeight="1">
      <c r="A42" s="195"/>
      <c r="B42" s="206" t="s">
        <v>91</v>
      </c>
      <c r="C42" s="207"/>
      <c r="D42" s="208"/>
      <c r="E42" s="209">
        <f>E17+E27</f>
        <v>3.433882974960474</v>
      </c>
      <c r="F42" s="210"/>
      <c r="G42" s="211"/>
      <c r="H42" s="209">
        <f>H17+H27</f>
        <v>5.091142631529105</v>
      </c>
      <c r="I42" s="210"/>
      <c r="J42" s="211"/>
      <c r="K42" s="209">
        <f>K17+K27</f>
        <v>7.156650917214984</v>
      </c>
      <c r="L42" s="212">
        <f>(E42*$E$7)+(H42*$H$7)+(K42*$K$7)</f>
        <v>4.963598088119175</v>
      </c>
      <c r="M42" s="236">
        <f>L42/$L$51</f>
        <v>0.876151992923975</v>
      </c>
      <c r="N42" s="195"/>
    </row>
    <row r="43" spans="2:14" s="113" customFormat="1" ht="9.75" customHeight="1">
      <c r="B43" s="16"/>
      <c r="C43" s="111"/>
      <c r="D43" s="111"/>
      <c r="E43" s="111"/>
      <c r="F43" s="111"/>
      <c r="G43" s="111"/>
      <c r="H43" s="111"/>
      <c r="I43" s="111"/>
      <c r="J43" s="111"/>
      <c r="K43" s="111"/>
      <c r="L43" s="16"/>
      <c r="M43" s="234"/>
      <c r="N43" s="114"/>
    </row>
    <row r="44" spans="1:14" s="196" customFormat="1" ht="15" customHeight="1">
      <c r="A44" s="195"/>
      <c r="B44" s="201" t="s">
        <v>92</v>
      </c>
      <c r="C44" s="197"/>
      <c r="D44" s="198"/>
      <c r="E44" s="199">
        <f>E45+E46+E47+E48+E49</f>
        <v>0.5908853698539412</v>
      </c>
      <c r="F44" s="202"/>
      <c r="G44" s="203"/>
      <c r="H44" s="200">
        <f>H45+H46+H47+H48+H49</f>
        <v>0.6149615135453651</v>
      </c>
      <c r="I44" s="204"/>
      <c r="J44" s="203"/>
      <c r="K44" s="199">
        <f>K45+K46+K47+K48+K49</f>
        <v>1.8111632438501162</v>
      </c>
      <c r="L44" s="205">
        <f>L45+L46+L47+L48+L49</f>
        <v>0.7016268137317008</v>
      </c>
      <c r="M44" s="235">
        <f aca="true" t="shared" si="4" ref="M44:M49">L44/$L$51</f>
        <v>0.1238480070760251</v>
      </c>
      <c r="N44" s="195"/>
    </row>
    <row r="45" spans="2:14" ht="15" customHeight="1">
      <c r="B45" s="123" t="s">
        <v>86</v>
      </c>
      <c r="C45" s="121">
        <f>1/120</f>
        <v>0.008333333333333333</v>
      </c>
      <c r="D45" s="167">
        <f>'Informações da Frota e Custos'!H4</f>
        <v>279688.22</v>
      </c>
      <c r="E45" s="194">
        <f>C45*D45*0.9/C11</f>
        <v>0.37804995360685206</v>
      </c>
      <c r="F45" s="121">
        <f>1/120</f>
        <v>0.008333333333333333</v>
      </c>
      <c r="G45" s="165">
        <f>'Informações da Frota e Custos'!H5</f>
        <v>310688.22</v>
      </c>
      <c r="H45" s="194">
        <f>F45*G45*0.9/F11</f>
        <v>0.364281501279226</v>
      </c>
      <c r="I45" s="121">
        <f>1/120</f>
        <v>0.008333333333333333</v>
      </c>
      <c r="J45" s="165">
        <f>'Informações da Frota e Custos'!H6</f>
        <v>703284.2</v>
      </c>
      <c r="K45" s="194">
        <f>I45*J45*0.9/I11</f>
        <v>1.048124843204969</v>
      </c>
      <c r="L45" s="145">
        <f>(E45*$E$7)+(H45*$H$7)+(K45*$K$7)</f>
        <v>0.4185497378982995</v>
      </c>
      <c r="M45" s="231">
        <f t="shared" si="4"/>
        <v>0.07388051580468692</v>
      </c>
      <c r="N45" s="110"/>
    </row>
    <row r="46" spans="2:14" ht="15" customHeight="1">
      <c r="B46" s="124" t="s">
        <v>85</v>
      </c>
      <c r="C46" s="120">
        <v>0.0001</v>
      </c>
      <c r="D46" s="49">
        <f>'Informações da Frota e Custos'!F5</f>
        <v>316500</v>
      </c>
      <c r="E46" s="320">
        <f>C46*D46/$C$11</f>
        <v>0.0057041043924585585</v>
      </c>
      <c r="F46" s="120">
        <v>0.0001</v>
      </c>
      <c r="G46" s="49">
        <f>D46</f>
        <v>316500</v>
      </c>
      <c r="H46" s="320">
        <f>F46*G46/$F$11</f>
        <v>0.004947944068810635</v>
      </c>
      <c r="I46" s="120">
        <v>0.0001</v>
      </c>
      <c r="J46" s="49">
        <f>G46</f>
        <v>316500</v>
      </c>
      <c r="K46" s="320">
        <f>I46*J46/$I$11</f>
        <v>0.006289188408220987</v>
      </c>
      <c r="L46" s="192">
        <f>(E46*$E$7)+(H46*$H$7)+(K46*$K$7)</f>
        <v>0.005179478013773631</v>
      </c>
      <c r="M46" s="232">
        <f t="shared" si="4"/>
        <v>0.000914258145705999</v>
      </c>
      <c r="N46" s="114"/>
    </row>
    <row r="47" spans="2:14" ht="15" customHeight="1">
      <c r="B47" s="124" t="s">
        <v>87</v>
      </c>
      <c r="C47" s="120">
        <f>((10-'Informações da Frota e Custos'!E25)/10)*0.01</f>
        <v>0.0033170731707317077</v>
      </c>
      <c r="D47" s="167">
        <f>D45</f>
        <v>279688.22</v>
      </c>
      <c r="E47" s="172">
        <f>C47*D47/C11</f>
        <v>0.16720258110742073</v>
      </c>
      <c r="F47" s="119">
        <f>((10-'Informações da Frota e Custos'!D25)/10)*0.01</f>
        <v>0.004346153846153846</v>
      </c>
      <c r="G47" s="165">
        <f>G45</f>
        <v>310688.22</v>
      </c>
      <c r="H47" s="172">
        <f>F47*G47/F11</f>
        <v>0.21109645971565402</v>
      </c>
      <c r="I47" s="120">
        <f>((10-'Informações da Frota e Custos'!F25)/10)*0.01</f>
        <v>0.0051</v>
      </c>
      <c r="J47" s="165">
        <f>J45</f>
        <v>703284.2</v>
      </c>
      <c r="K47" s="172">
        <f>I47*J47/I11</f>
        <v>0.712724893379379</v>
      </c>
      <c r="L47" s="192">
        <f>(E47*$E$7)+(H47*$H$7)+(K47*$K$7)</f>
        <v>0.24164125172321213</v>
      </c>
      <c r="M47" s="232">
        <f t="shared" si="4"/>
        <v>0.042653426105690166</v>
      </c>
      <c r="N47" s="110"/>
    </row>
    <row r="48" spans="2:14" ht="15" customHeight="1">
      <c r="B48" s="124" t="s">
        <v>88</v>
      </c>
      <c r="C48" s="120">
        <v>0.0004</v>
      </c>
      <c r="D48" s="49">
        <f>'Informações da Frota e Custos'!F5</f>
        <v>316500</v>
      </c>
      <c r="E48" s="172">
        <f>C48*D48/$C$11</f>
        <v>0.022816417569834234</v>
      </c>
      <c r="F48" s="120">
        <v>0.0004</v>
      </c>
      <c r="G48" s="49">
        <f>D48</f>
        <v>316500</v>
      </c>
      <c r="H48" s="172">
        <f>F48*G48/$F$11</f>
        <v>0.01979177627524254</v>
      </c>
      <c r="I48" s="120">
        <v>0.0004</v>
      </c>
      <c r="J48" s="49">
        <f>G48</f>
        <v>316500</v>
      </c>
      <c r="K48" s="172">
        <f>I48*J48/$I$11</f>
        <v>0.025156753632883947</v>
      </c>
      <c r="L48" s="192">
        <f>(E48*$E$7)+(H48*$H$7)+(K48*$K$7)</f>
        <v>0.020717912055094524</v>
      </c>
      <c r="M48" s="232">
        <f t="shared" si="4"/>
        <v>0.003657032582823996</v>
      </c>
      <c r="N48" s="114"/>
    </row>
    <row r="49" spans="2:14" ht="15" customHeight="1">
      <c r="B49" s="133" t="s">
        <v>89</v>
      </c>
      <c r="C49" s="120">
        <v>0.0003</v>
      </c>
      <c r="D49" s="312">
        <f>'Informações da Frota e Custos'!F5</f>
        <v>316500</v>
      </c>
      <c r="E49" s="321">
        <f>C49*D49/$C$11</f>
        <v>0.017112313177375674</v>
      </c>
      <c r="F49" s="120">
        <v>0.0003</v>
      </c>
      <c r="G49" s="312">
        <f>D49</f>
        <v>316500</v>
      </c>
      <c r="H49" s="321">
        <f>F49*G49/$F$11</f>
        <v>0.014843832206431904</v>
      </c>
      <c r="I49" s="120">
        <v>0.0003</v>
      </c>
      <c r="J49" s="312">
        <f>G49</f>
        <v>316500</v>
      </c>
      <c r="K49" s="321">
        <f>I49*J49/$I$11</f>
        <v>0.018867565224662958</v>
      </c>
      <c r="L49" s="192">
        <f>(E49*$E$7)+(H49*$H$7)+(K49*$K$7)</f>
        <v>0.015538434041320891</v>
      </c>
      <c r="M49" s="233">
        <f t="shared" si="4"/>
        <v>0.0027427744371179967</v>
      </c>
      <c r="N49" s="114"/>
    </row>
    <row r="50" spans="2:14" s="113" customFormat="1" ht="9.75" customHeight="1">
      <c r="B50" s="16"/>
      <c r="C50" s="111"/>
      <c r="D50" s="111"/>
      <c r="E50" s="111"/>
      <c r="F50" s="111"/>
      <c r="G50" s="111"/>
      <c r="H50" s="111"/>
      <c r="I50" s="111"/>
      <c r="J50" s="111"/>
      <c r="K50" s="111"/>
      <c r="L50" s="16"/>
      <c r="M50" s="234"/>
      <c r="N50" s="114"/>
    </row>
    <row r="51" spans="1:16" s="196" customFormat="1" ht="15" customHeight="1">
      <c r="A51" s="195"/>
      <c r="B51" s="206" t="s">
        <v>90</v>
      </c>
      <c r="C51" s="207"/>
      <c r="D51" s="208"/>
      <c r="E51" s="209">
        <f>E42+E44</f>
        <v>4.024768344814415</v>
      </c>
      <c r="F51" s="210"/>
      <c r="G51" s="211"/>
      <c r="H51" s="209">
        <f>H42+H44</f>
        <v>5.7061041450744705</v>
      </c>
      <c r="I51" s="210"/>
      <c r="J51" s="211"/>
      <c r="K51" s="209">
        <f>K42+K44</f>
        <v>8.9678141610651</v>
      </c>
      <c r="L51" s="212">
        <f>(E51*$E$7)+(H51*$H$7)+(K51*$K$7)</f>
        <v>5.665224901850875</v>
      </c>
      <c r="M51" s="236">
        <f>L51/L51</f>
        <v>1</v>
      </c>
      <c r="N51" s="195"/>
      <c r="O51" s="196">
        <f>H51-E51</f>
        <v>1.6813358002600554</v>
      </c>
      <c r="P51" s="338">
        <f>O51/E51</f>
        <v>0.41774722324735014</v>
      </c>
    </row>
    <row r="52" spans="2:14" s="113" customFormat="1" ht="9.75" customHeight="1">
      <c r="B52" s="16"/>
      <c r="C52" s="111"/>
      <c r="D52" s="111"/>
      <c r="E52" s="111"/>
      <c r="F52" s="111"/>
      <c r="G52" s="111"/>
      <c r="H52" s="111"/>
      <c r="I52" s="111"/>
      <c r="J52" s="111"/>
      <c r="K52" s="111"/>
      <c r="L52" s="213"/>
      <c r="M52" s="237"/>
      <c r="N52" s="114"/>
    </row>
    <row r="53" spans="2:14" ht="15" customHeight="1">
      <c r="B53" s="221" t="s">
        <v>93</v>
      </c>
      <c r="C53" s="499"/>
      <c r="D53" s="500"/>
      <c r="E53" s="500"/>
      <c r="F53" s="500"/>
      <c r="G53" s="500"/>
      <c r="H53" s="500"/>
      <c r="I53" s="500"/>
      <c r="J53" s="500"/>
      <c r="K53" s="501"/>
      <c r="L53" s="222">
        <f>(L51/0.95)-L51</f>
        <v>0.29816973167636185</v>
      </c>
      <c r="M53" s="238">
        <f>L53/$L$51</f>
        <v>0.05263157894736842</v>
      </c>
      <c r="N53" s="110"/>
    </row>
    <row r="54" spans="2:14" ht="15" customHeight="1">
      <c r="B54" s="223" t="s">
        <v>9</v>
      </c>
      <c r="C54" s="224" t="s">
        <v>108</v>
      </c>
      <c r="D54" s="249">
        <v>0</v>
      </c>
      <c r="E54" s="226"/>
      <c r="F54" s="227" t="s">
        <v>68</v>
      </c>
      <c r="G54" s="225">
        <v>0.02</v>
      </c>
      <c r="H54" s="226"/>
      <c r="I54" s="224" t="s">
        <v>67</v>
      </c>
      <c r="J54" s="249">
        <v>0.02</v>
      </c>
      <c r="K54" s="226"/>
      <c r="L54" s="228">
        <f>L56-L53-L51</f>
        <v>0.2484747763969688</v>
      </c>
      <c r="M54" s="239">
        <f>L54/$L$51</f>
        <v>0.04385964912280712</v>
      </c>
      <c r="N54" s="110"/>
    </row>
    <row r="55" spans="2:14" ht="9.75" customHeight="1">
      <c r="B55" s="214"/>
      <c r="C55" s="215"/>
      <c r="D55" s="216"/>
      <c r="E55" s="216"/>
      <c r="F55" s="216"/>
      <c r="G55" s="216"/>
      <c r="H55" s="216"/>
      <c r="I55" s="216"/>
      <c r="J55" s="216"/>
      <c r="K55" s="216"/>
      <c r="L55" s="217"/>
      <c r="M55" s="218"/>
      <c r="N55" s="110"/>
    </row>
    <row r="56" spans="1:14" s="196" customFormat="1" ht="15" customHeight="1">
      <c r="A56" s="195"/>
      <c r="B56" s="219" t="s">
        <v>109</v>
      </c>
      <c r="C56" s="491"/>
      <c r="D56" s="492"/>
      <c r="E56" s="492"/>
      <c r="F56" s="492"/>
      <c r="G56" s="492"/>
      <c r="H56" s="492"/>
      <c r="I56" s="492"/>
      <c r="J56" s="492"/>
      <c r="K56" s="493"/>
      <c r="L56" s="494">
        <f>(L51+L53)/(1-D54-G54-J54)</f>
        <v>6.211869409924206</v>
      </c>
      <c r="M56" s="495"/>
      <c r="N56" s="294"/>
    </row>
    <row r="57" spans="1:14" s="196" customFormat="1" ht="15" customHeight="1">
      <c r="A57" s="195"/>
      <c r="B57" s="220" t="s">
        <v>69</v>
      </c>
      <c r="C57" s="486"/>
      <c r="D57" s="487"/>
      <c r="E57" s="487"/>
      <c r="F57" s="487"/>
      <c r="G57" s="487"/>
      <c r="H57" s="487"/>
      <c r="I57" s="487"/>
      <c r="J57" s="487"/>
      <c r="K57" s="488"/>
      <c r="L57" s="489">
        <f>L12/L7</f>
        <v>1.6520629463886198</v>
      </c>
      <c r="M57" s="490"/>
      <c r="N57" s="294"/>
    </row>
    <row r="58" spans="2:14" s="113" customFormat="1" ht="9.75" customHeight="1" thickBot="1">
      <c r="B58" s="16"/>
      <c r="C58" s="111"/>
      <c r="D58" s="111"/>
      <c r="E58" s="111"/>
      <c r="F58" s="111"/>
      <c r="G58" s="111"/>
      <c r="H58" s="111"/>
      <c r="I58" s="111"/>
      <c r="J58" s="111"/>
      <c r="K58" s="111"/>
      <c r="L58" s="16"/>
      <c r="M58" s="16"/>
      <c r="N58" s="114"/>
    </row>
    <row r="59" spans="2:14" ht="19.5" customHeight="1" thickBot="1">
      <c r="B59" s="127" t="s">
        <v>94</v>
      </c>
      <c r="C59" s="474"/>
      <c r="D59" s="474"/>
      <c r="E59" s="474"/>
      <c r="F59" s="474"/>
      <c r="G59" s="474"/>
      <c r="H59" s="474"/>
      <c r="I59" s="474"/>
      <c r="J59" s="474"/>
      <c r="K59" s="474"/>
      <c r="L59" s="484">
        <f>L56/L57</f>
        <v>3.760068236808556</v>
      </c>
      <c r="M59" s="485"/>
      <c r="N59" s="110"/>
    </row>
    <row r="60" ht="11.25">
      <c r="N60" s="295"/>
    </row>
    <row r="61" spans="11:14" ht="11.25">
      <c r="K61" s="370"/>
      <c r="L61" s="370"/>
      <c r="N61" s="372"/>
    </row>
    <row r="62" spans="10:14" ht="11.25">
      <c r="J62" s="73"/>
      <c r="K62" s="73"/>
      <c r="L62" s="304"/>
      <c r="M62" s="73"/>
      <c r="N62" s="371"/>
    </row>
    <row r="63" spans="4:13" ht="11.25">
      <c r="D63" s="263"/>
      <c r="F63" s="264"/>
      <c r="I63" s="518"/>
      <c r="J63" s="518"/>
      <c r="K63" s="518"/>
      <c r="L63" s="518"/>
      <c r="M63" s="518"/>
    </row>
    <row r="64" spans="9:15" ht="11.25">
      <c r="I64" s="518"/>
      <c r="J64" s="518"/>
      <c r="K64" s="518"/>
      <c r="L64" s="518"/>
      <c r="M64" s="518"/>
      <c r="O64" s="263"/>
    </row>
    <row r="65" spans="9:13" ht="11.25">
      <c r="I65" s="518"/>
      <c r="J65" s="518"/>
      <c r="K65" s="518"/>
      <c r="L65" s="518"/>
      <c r="M65" s="518"/>
    </row>
    <row r="66" spans="9:13" ht="11.25">
      <c r="I66" s="518"/>
      <c r="J66" s="518"/>
      <c r="K66" s="518"/>
      <c r="L66" s="518"/>
      <c r="M66" s="518"/>
    </row>
    <row r="67" spans="9:13" ht="11.25">
      <c r="I67" s="518"/>
      <c r="J67" s="518"/>
      <c r="K67" s="518"/>
      <c r="L67" s="518"/>
      <c r="M67" s="518"/>
    </row>
    <row r="68" spans="9:14" ht="11.25">
      <c r="I68" s="518"/>
      <c r="J68" s="518"/>
      <c r="K68" s="518"/>
      <c r="L68" s="518"/>
      <c r="M68" s="518"/>
      <c r="N68" s="372"/>
    </row>
    <row r="69" spans="9:14" ht="11.25">
      <c r="I69" s="518"/>
      <c r="J69" s="518"/>
      <c r="K69" s="518"/>
      <c r="L69" s="518"/>
      <c r="M69" s="518"/>
      <c r="N69" s="372"/>
    </row>
  </sheetData>
  <sheetProtection/>
  <mergeCells count="48">
    <mergeCell ref="I63:M69"/>
    <mergeCell ref="C4:E4"/>
    <mergeCell ref="F4:H4"/>
    <mergeCell ref="I4:K4"/>
    <mergeCell ref="I11:K11"/>
    <mergeCell ref="I10:K10"/>
    <mergeCell ref="C5:E5"/>
    <mergeCell ref="C6:E6"/>
    <mergeCell ref="F5:H5"/>
    <mergeCell ref="F6:H6"/>
    <mergeCell ref="I7:J7"/>
    <mergeCell ref="B2:M2"/>
    <mergeCell ref="B12:K12"/>
    <mergeCell ref="C10:E10"/>
    <mergeCell ref="C11:E11"/>
    <mergeCell ref="F10:H10"/>
    <mergeCell ref="I5:K5"/>
    <mergeCell ref="L5:M5"/>
    <mergeCell ref="L6:M6"/>
    <mergeCell ref="L4:M4"/>
    <mergeCell ref="I6:K6"/>
    <mergeCell ref="C7:D7"/>
    <mergeCell ref="F7:G7"/>
    <mergeCell ref="L7:M7"/>
    <mergeCell ref="L10:M10"/>
    <mergeCell ref="L11:M11"/>
    <mergeCell ref="F11:H11"/>
    <mergeCell ref="I9:J9"/>
    <mergeCell ref="F9:G9"/>
    <mergeCell ref="C8:D8"/>
    <mergeCell ref="C9:D9"/>
    <mergeCell ref="C56:K56"/>
    <mergeCell ref="L56:M56"/>
    <mergeCell ref="B14:B15"/>
    <mergeCell ref="L14:M14"/>
    <mergeCell ref="C53:K53"/>
    <mergeCell ref="C14:E14"/>
    <mergeCell ref="F14:H14"/>
    <mergeCell ref="C59:K59"/>
    <mergeCell ref="F8:G8"/>
    <mergeCell ref="L12:M12"/>
    <mergeCell ref="I8:J8"/>
    <mergeCell ref="I14:K14"/>
    <mergeCell ref="L8:M8"/>
    <mergeCell ref="L9:M9"/>
    <mergeCell ref="L59:M59"/>
    <mergeCell ref="C57:K57"/>
    <mergeCell ref="L57:M57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4" r:id="rId3"/>
  <headerFooter alignWithMargins="0">
    <oddHeader>&amp;C&amp;A</oddHeader>
    <oddFooter>&amp;CPágina &amp;P de &amp;N</oddFooter>
  </headerFooter>
  <ignoredErrors>
    <ignoredError sqref="H21 K47 E47 H4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7" sqref="E15:E27"/>
    </sheetView>
  </sheetViews>
  <sheetFormatPr defaultColWidth="9.00390625" defaultRowHeight="12.75"/>
  <cols>
    <col min="1" max="1" width="31.375" style="0" customWidth="1"/>
    <col min="2" max="2" width="12.50390625" style="0" customWidth="1"/>
    <col min="4" max="4" width="14.875" style="301" customWidth="1"/>
    <col min="5" max="5" width="20.125" style="0" customWidth="1"/>
    <col min="6" max="6" width="20.875" style="0" customWidth="1"/>
    <col min="8" max="8" width="11.75390625" style="0" customWidth="1"/>
    <col min="9" max="10" width="9.25390625" style="0" bestFit="1" customWidth="1"/>
    <col min="11" max="11" width="13.00390625" style="0" bestFit="1" customWidth="1"/>
  </cols>
  <sheetData>
    <row r="1" spans="1:6" ht="12.75">
      <c r="A1" s="114"/>
      <c r="B1" s="277"/>
      <c r="C1" s="113"/>
      <c r="D1" s="297"/>
      <c r="E1" s="113"/>
      <c r="F1" s="113"/>
    </row>
    <row r="2" spans="1:11" ht="15.75">
      <c r="A2" s="279"/>
      <c r="B2" s="278" t="s">
        <v>140</v>
      </c>
      <c r="C2" s="266" t="s">
        <v>141</v>
      </c>
      <c r="D2" s="298" t="s">
        <v>137</v>
      </c>
      <c r="E2" s="274" t="s">
        <v>138</v>
      </c>
      <c r="F2" s="274" t="s">
        <v>139</v>
      </c>
      <c r="H2" t="s">
        <v>140</v>
      </c>
      <c r="I2" t="s">
        <v>141</v>
      </c>
      <c r="J2" t="s">
        <v>137</v>
      </c>
      <c r="K2" t="s">
        <v>138</v>
      </c>
    </row>
    <row r="3" spans="1:11" ht="15.75">
      <c r="A3" s="206" t="s">
        <v>83</v>
      </c>
      <c r="B3" s="278"/>
      <c r="C3" s="266"/>
      <c r="D3" s="278"/>
      <c r="E3" s="278"/>
      <c r="F3" s="278"/>
      <c r="H3" s="303"/>
      <c r="I3" s="303"/>
      <c r="J3" s="303"/>
      <c r="K3" s="303"/>
    </row>
    <row r="4" spans="1:11" ht="15.75">
      <c r="A4" s="280" t="s">
        <v>135</v>
      </c>
      <c r="B4" s="281">
        <f>'Cálculo da Tarifa'!L18</f>
        <v>0.5863529178648406</v>
      </c>
      <c r="C4" s="282">
        <f aca="true" t="shared" si="0" ref="C4:C11">B4/$B$45</f>
        <v>0.09439234458600682</v>
      </c>
      <c r="D4" s="299">
        <f>C4*'Cálculo da Tarifa'!$L$59</f>
        <v>0.3549216566757323</v>
      </c>
      <c r="E4" s="283">
        <f>D4*'Cálculo da Tarifa'!$L$12</f>
        <v>777511.0053237928</v>
      </c>
      <c r="F4" s="283">
        <f>E4*'Cálculo da Tarifa'!$T$14</f>
        <v>9330132.063885514</v>
      </c>
      <c r="H4" s="303">
        <v>0.6463580433146656</v>
      </c>
      <c r="I4" s="303">
        <v>0.1152076502815112</v>
      </c>
      <c r="J4" s="303">
        <v>0.36834935100394606</v>
      </c>
      <c r="K4" s="303">
        <v>845126.7690160052</v>
      </c>
    </row>
    <row r="5" spans="1:11" ht="15.75">
      <c r="A5" s="280" t="s">
        <v>136</v>
      </c>
      <c r="B5" s="281">
        <f>'Cálculo da Tarifa'!L19</f>
        <v>0.33733356488537347</v>
      </c>
      <c r="C5" s="282">
        <f t="shared" si="0"/>
        <v>0.05430467748508084</v>
      </c>
      <c r="D5" s="299">
        <f>C5*'Cálculo da Tarifa'!$L$59</f>
        <v>0.2041892929217852</v>
      </c>
      <c r="E5" s="283">
        <f>D5*'Cálculo da Tarifa'!$L$12</f>
        <v>447308.35504078376</v>
      </c>
      <c r="F5" s="283">
        <f>E5*'Cálculo da Tarifa'!$T$14</f>
        <v>5367700.260489405</v>
      </c>
      <c r="H5" s="303">
        <v>0.2468482719434225</v>
      </c>
      <c r="I5" s="303">
        <v>0.043998538705904776</v>
      </c>
      <c r="J5" s="303">
        <v>0.14067497373516816</v>
      </c>
      <c r="K5" s="303">
        <v>322759.3199504251</v>
      </c>
    </row>
    <row r="6" spans="1:11" ht="15.75">
      <c r="A6" s="280" t="s">
        <v>134</v>
      </c>
      <c r="B6" s="281">
        <f>'Cálculo da Tarifa'!L20</f>
        <v>0.008030014233313247</v>
      </c>
      <c r="C6" s="282">
        <f t="shared" si="0"/>
        <v>0.0012926888354227693</v>
      </c>
      <c r="D6" s="299">
        <f>C6*'Cálculo da Tarifa'!$L$59</f>
        <v>0.004860598230150197</v>
      </c>
      <c r="E6" s="283">
        <f>D6*'Cálculo da Tarifa'!$L$12</f>
        <v>10647.895233544163</v>
      </c>
      <c r="F6" s="283">
        <f>E6*'Cálculo da Tarifa'!$T$14</f>
        <v>127774.74280252995</v>
      </c>
      <c r="H6" s="303">
        <v>0.002310333310518867</v>
      </c>
      <c r="I6" s="303">
        <v>0.00041179664247236017</v>
      </c>
      <c r="J6" s="303">
        <v>0.0013166228599372854</v>
      </c>
      <c r="K6" s="303">
        <v>3020.8095130307156</v>
      </c>
    </row>
    <row r="7" spans="1:11" ht="15.75">
      <c r="A7" s="280" t="s">
        <v>0</v>
      </c>
      <c r="B7" s="281">
        <f>'Cálculo da Tarifa'!L21</f>
        <v>0.046585824849176366</v>
      </c>
      <c r="C7" s="282">
        <f t="shared" si="0"/>
        <v>0.007499485545325522</v>
      </c>
      <c r="D7" s="299">
        <f>C7*'Cálculo da Tarifa'!$L$59</f>
        <v>0.028198577391383386</v>
      </c>
      <c r="E7" s="283">
        <f>D7*'Cálculo da Tarifa'!$L$12</f>
        <v>61773.36277990604</v>
      </c>
      <c r="F7" s="283">
        <f>E7*'Cálculo da Tarifa'!$T$14</f>
        <v>741280.3533588725</v>
      </c>
      <c r="H7" s="303">
        <v>0.044775832428430355</v>
      </c>
      <c r="I7" s="303">
        <v>0.007980899281494418</v>
      </c>
      <c r="J7" s="303">
        <v>0.025517047379952577</v>
      </c>
      <c r="K7" s="303">
        <v>58545.34492397306</v>
      </c>
    </row>
    <row r="8" spans="1:11" ht="15.75">
      <c r="A8" s="284" t="s">
        <v>62</v>
      </c>
      <c r="B8" s="281">
        <f>'Cálculo da Tarifa'!L22</f>
        <v>0.05114900677085735</v>
      </c>
      <c r="C8" s="282">
        <f t="shared" si="0"/>
        <v>0.008234076313507279</v>
      </c>
      <c r="D8" s="299">
        <f>C8*'Cálculo da Tarifa'!$L$59</f>
        <v>0.030960688805876407</v>
      </c>
      <c r="E8" s="283">
        <f>D8*'Cálculo da Tarifa'!$L$12</f>
        <v>67824.19676623808</v>
      </c>
      <c r="F8" s="283">
        <f>E8*'Cálculo da Tarifa'!$T$14</f>
        <v>813890.3611948569</v>
      </c>
      <c r="H8" s="303">
        <v>0.06848929444526575</v>
      </c>
      <c r="I8" s="303">
        <v>0.012207615831642567</v>
      </c>
      <c r="J8" s="303">
        <v>0.03903097891418998</v>
      </c>
      <c r="K8" s="303">
        <v>89551.19646980954</v>
      </c>
    </row>
    <row r="9" spans="1:11" ht="15.75">
      <c r="A9" s="284" t="s">
        <v>63</v>
      </c>
      <c r="B9" s="281">
        <f>'Cálculo da Tarifa'!L23</f>
        <v>0.007746347057526209</v>
      </c>
      <c r="C9" s="282">
        <f t="shared" si="0"/>
        <v>0.0012470234878329044</v>
      </c>
      <c r="D9" s="299">
        <f>C9*'Cálculo da Tarifa'!$L$59</f>
        <v>0.004688893407154724</v>
      </c>
      <c r="E9" s="283">
        <f>D9*'Cálculo da Tarifa'!$L$12</f>
        <v>10271.749154444442</v>
      </c>
      <c r="F9" s="283">
        <f>E9*'Cálculo da Tarifa'!$T$14</f>
        <v>123260.9898533333</v>
      </c>
      <c r="H9" s="303">
        <v>0.009873884039133508</v>
      </c>
      <c r="I9" s="303">
        <v>0.0017599331996660836</v>
      </c>
      <c r="J9" s="303">
        <v>0.005626972256818401</v>
      </c>
      <c r="K9" s="303">
        <v>12910.311555555556</v>
      </c>
    </row>
    <row r="10" spans="1:11" ht="15.75">
      <c r="A10" s="284" t="s">
        <v>64</v>
      </c>
      <c r="B10" s="281">
        <f>'Cálculo da Tarifa'!L24</f>
        <v>0.05016524001147444</v>
      </c>
      <c r="C10" s="282">
        <f t="shared" si="0"/>
        <v>0.008075707440231993</v>
      </c>
      <c r="D10" s="299">
        <f>C10*'Cálculo da Tarifa'!$L$59</f>
        <v>0.030365211035774844</v>
      </c>
      <c r="E10" s="283">
        <f>D10*'Cálculo da Tarifa'!$L$12</f>
        <v>66519.71023809523</v>
      </c>
      <c r="F10" s="283">
        <f>E10*'Cálculo da Tarifa'!$T$14</f>
        <v>798236.5228571427</v>
      </c>
      <c r="H10" s="303">
        <v>0.04986804246286805</v>
      </c>
      <c r="I10" s="303">
        <v>0.008888541042706163</v>
      </c>
      <c r="J10" s="303">
        <v>0.028419018324325522</v>
      </c>
      <c r="K10" s="303">
        <v>65203.51690476191</v>
      </c>
    </row>
    <row r="11" spans="1:11" ht="15.75">
      <c r="A11" s="284" t="s">
        <v>65</v>
      </c>
      <c r="B11" s="281">
        <f>'Cálculo da Tarifa'!L25</f>
        <v>0.007156613213153426</v>
      </c>
      <c r="C11" s="282">
        <f t="shared" si="0"/>
        <v>0.001152086874479344</v>
      </c>
      <c r="D11" s="299">
        <f>C11*'Cálculo da Tarifa'!$L$59</f>
        <v>0.004331925262773827</v>
      </c>
      <c r="E11" s="283">
        <f>D11*'Cálculo da Tarifa'!$L$12</f>
        <v>9489.755</v>
      </c>
      <c r="F11" s="283">
        <f>E11*'Cálculo da Tarifa'!$T$14</f>
        <v>113877.06</v>
      </c>
      <c r="H11" s="303">
        <v>0.007672798429153983</v>
      </c>
      <c r="I11" s="303">
        <v>0.001367609001310379</v>
      </c>
      <c r="J11" s="303">
        <v>0.0043726079546704995</v>
      </c>
      <c r="K11" s="303">
        <v>10032.345714285713</v>
      </c>
    </row>
    <row r="12" spans="1:11" ht="15.75">
      <c r="A12" s="305" t="s">
        <v>142</v>
      </c>
      <c r="B12" s="306">
        <f>SUM(B4:B11)</f>
        <v>1.0945195288857155</v>
      </c>
      <c r="C12" s="307">
        <f>SUM(C4:C11)</f>
        <v>0.1761980905678875</v>
      </c>
      <c r="D12" s="308">
        <f>SUM(D4:D11)</f>
        <v>0.6625168437306309</v>
      </c>
      <c r="E12" s="309">
        <f>SUM(E4:E11)</f>
        <v>1451346.0295368042</v>
      </c>
      <c r="F12" s="309">
        <f>SUM(F4:F11)</f>
        <v>17416152.354441654</v>
      </c>
      <c r="H12" s="303">
        <v>1.0761965003734588</v>
      </c>
      <c r="I12" s="303">
        <v>0.19182258398670798</v>
      </c>
      <c r="J12" s="303">
        <v>0.6133075724290084</v>
      </c>
      <c r="K12" s="303">
        <v>1407149.6140478472</v>
      </c>
    </row>
    <row r="13" spans="1:11" ht="15.75">
      <c r="A13" s="16"/>
      <c r="B13" s="278"/>
      <c r="C13" s="266"/>
      <c r="D13" s="300"/>
      <c r="E13" s="267"/>
      <c r="F13" s="268"/>
      <c r="H13" s="303"/>
      <c r="I13" s="303"/>
      <c r="J13" s="303"/>
      <c r="K13" s="303"/>
    </row>
    <row r="14" spans="1:11" ht="15.75">
      <c r="A14" s="206" t="s">
        <v>84</v>
      </c>
      <c r="B14" s="278" t="s">
        <v>118</v>
      </c>
      <c r="C14" s="266" t="s">
        <v>118</v>
      </c>
      <c r="D14" s="300" t="s">
        <v>118</v>
      </c>
      <c r="E14" s="267" t="s">
        <v>118</v>
      </c>
      <c r="F14" s="269"/>
      <c r="H14" s="303" t="s">
        <v>118</v>
      </c>
      <c r="I14" s="303" t="s">
        <v>118</v>
      </c>
      <c r="J14" s="303" t="s">
        <v>118</v>
      </c>
      <c r="K14" s="303" t="s">
        <v>118</v>
      </c>
    </row>
    <row r="15" spans="1:11" ht="15.75">
      <c r="A15" s="285" t="s">
        <v>3</v>
      </c>
      <c r="B15" s="286">
        <f>'Cálculo da Tarifa'!L28</f>
        <v>0.31923613148598956</v>
      </c>
      <c r="C15" s="287">
        <f aca="true" t="shared" si="1" ref="C15:C23">B15/$B$45</f>
        <v>0.05139131401828434</v>
      </c>
      <c r="D15" s="296">
        <f>C15*'Cálculo da Tarifa'!$L$59</f>
        <v>0.1932348474880052</v>
      </c>
      <c r="E15" s="288">
        <f>D15*'Cálculo da Tarifa'!$L$12</f>
        <v>423310.9411839999</v>
      </c>
      <c r="F15" s="288">
        <f>E15*'Cálculo da Tarifa'!$T$14</f>
        <v>5079731.294207999</v>
      </c>
      <c r="H15" s="303">
        <v>0.3227429680324466</v>
      </c>
      <c r="I15" s="303">
        <v>0.05752610240791507</v>
      </c>
      <c r="J15" s="303">
        <v>0.18392617535350106</v>
      </c>
      <c r="K15" s="303">
        <v>421993.2352</v>
      </c>
    </row>
    <row r="16" spans="1:11" ht="15.75">
      <c r="A16" s="289" t="s">
        <v>4</v>
      </c>
      <c r="B16" s="286">
        <f>'Cálculo da Tarifa'!L29</f>
        <v>1.2231743735802003</v>
      </c>
      <c r="C16" s="287">
        <f t="shared" si="1"/>
        <v>0.19690922214591836</v>
      </c>
      <c r="D16" s="296">
        <f>C16*'Cálculo da Tarifa'!$L$59</f>
        <v>0.7403921117255474</v>
      </c>
      <c r="E16" s="288">
        <f>D16*'Cálculo da Tarifa'!$L$12</f>
        <v>1621943.8974598283</v>
      </c>
      <c r="F16" s="288">
        <f>E16*'Cálculo da Tarifa'!$T$14</f>
        <v>19463326.76951794</v>
      </c>
      <c r="H16" s="303">
        <v>1.1556298943021608</v>
      </c>
      <c r="I16" s="303">
        <v>0.2059808895312346</v>
      </c>
      <c r="J16" s="303">
        <v>0.6585754226620317</v>
      </c>
      <c r="K16" s="303">
        <v>1511010.451330347</v>
      </c>
    </row>
    <row r="17" spans="1:11" ht="15.75">
      <c r="A17" s="289" t="s">
        <v>5</v>
      </c>
      <c r="B17" s="286">
        <f>'Cálculo da Tarifa'!L30</f>
        <v>0.6866294614765778</v>
      </c>
      <c r="C17" s="287">
        <f t="shared" si="1"/>
        <v>0.11053507666783928</v>
      </c>
      <c r="D17" s="296">
        <f>C17*'Cálculo da Tarifa'!$L$59</f>
        <v>0.415619430831941</v>
      </c>
      <c r="E17" s="288">
        <f>D17*'Cálculo da Tarifa'!$L$12</f>
        <v>910478.9054714796</v>
      </c>
      <c r="F17" s="288">
        <f>E17*'Cálculo da Tarifa'!$T$14</f>
        <v>10925746.865657756</v>
      </c>
      <c r="H17" s="303">
        <v>0.6479046959034176</v>
      </c>
      <c r="I17" s="303">
        <v>0.1154833275356197</v>
      </c>
      <c r="J17" s="303">
        <v>0.3692307641513307</v>
      </c>
      <c r="K17" s="303">
        <v>847149.0498843906</v>
      </c>
    </row>
    <row r="18" spans="1:11" ht="15.75">
      <c r="A18" s="289" t="s">
        <v>66</v>
      </c>
      <c r="B18" s="286">
        <f>'Cálculo da Tarifa'!L31</f>
        <v>0.07269573534230007</v>
      </c>
      <c r="C18" s="287">
        <f t="shared" si="1"/>
        <v>0.011702714681374324</v>
      </c>
      <c r="D18" s="296">
        <f>C18*'Cálculo da Tarifa'!$L$59</f>
        <v>0.04400300575786876</v>
      </c>
      <c r="E18" s="288">
        <f>D18*'Cálculo da Tarifa'!$L$12</f>
        <v>96395.41741271398</v>
      </c>
      <c r="F18" s="288">
        <f>E18*'Cálculo da Tarifa'!$T$14</f>
        <v>1156745.0089525678</v>
      </c>
      <c r="H18" s="303">
        <v>0.0692410522072474</v>
      </c>
      <c r="I18" s="303">
        <v>0.012341610057032952</v>
      </c>
      <c r="J18" s="303">
        <v>0.03945939391823026</v>
      </c>
      <c r="K18" s="303">
        <v>90534.13559316001</v>
      </c>
    </row>
    <row r="19" spans="1:11" ht="15.75">
      <c r="A19" s="285" t="s">
        <v>6</v>
      </c>
      <c r="B19" s="286">
        <f>'Cálculo da Tarifa'!L32</f>
        <v>0.2676374420038755</v>
      </c>
      <c r="C19" s="287">
        <f t="shared" si="1"/>
        <v>0.043084846821842805</v>
      </c>
      <c r="D19" s="296">
        <f>C19*'Cálculo da Tarifa'!$L$59</f>
        <v>0.1620019640225732</v>
      </c>
      <c r="E19" s="288">
        <f>D19*'Cálculo da Tarifa'!$L$12</f>
        <v>354890.4597464429</v>
      </c>
      <c r="F19" s="288">
        <f>E19*'Cálculo da Tarifa'!$T$14</f>
        <v>4258685.516957315</v>
      </c>
      <c r="H19" s="303">
        <v>0.2528247117257315</v>
      </c>
      <c r="I19" s="303">
        <v>0.04506378666172479</v>
      </c>
      <c r="J19" s="303">
        <v>0.14408085339876503</v>
      </c>
      <c r="K19" s="303">
        <v>330573.6409690662</v>
      </c>
    </row>
    <row r="20" spans="1:11" ht="15.75">
      <c r="A20" s="285" t="s">
        <v>49</v>
      </c>
      <c r="B20" s="286">
        <f>'Cálculo da Tarifa'!L33</f>
        <v>0.6166101521908554</v>
      </c>
      <c r="C20" s="287">
        <f t="shared" si="1"/>
        <v>0.09926321876724367</v>
      </c>
      <c r="D20" s="296">
        <f>C20*'Cálculo da Tarifa'!$L$59</f>
        <v>0.37323647597009185</v>
      </c>
      <c r="E20" s="288">
        <f>D20*'Cálculo da Tarifa'!$L$12</f>
        <v>817632.4611269003</v>
      </c>
      <c r="F20" s="288">
        <f>E20*'Cálculo da Tarifa'!$T$14</f>
        <v>9811589.533522803</v>
      </c>
      <c r="H20" s="303">
        <v>0.2506822564375961</v>
      </c>
      <c r="I20" s="303">
        <v>0.04468191280383405</v>
      </c>
      <c r="J20" s="303">
        <v>0.14285990160107007</v>
      </c>
      <c r="K20" s="303">
        <v>327772.3355097302</v>
      </c>
    </row>
    <row r="21" spans="1:11" ht="15.75">
      <c r="A21" s="285" t="s">
        <v>7</v>
      </c>
      <c r="B21" s="286">
        <f>'Cálculo da Tarifa'!L34</f>
        <v>0.014292376368231285</v>
      </c>
      <c r="C21" s="287">
        <f t="shared" si="1"/>
        <v>0.002300817262094644</v>
      </c>
      <c r="D21" s="296">
        <f>C21*'Cálculo da Tarifa'!$L$59</f>
        <v>0.008651229905902896</v>
      </c>
      <c r="E21" s="288">
        <f>D21*'Cálculo da Tarifa'!$L$12</f>
        <v>18951.862572791095</v>
      </c>
      <c r="F21" s="288">
        <f>E21*'Cálculo da Tarifa'!$T$14</f>
        <v>227422.35087349312</v>
      </c>
      <c r="H21" s="303">
        <v>0.013498476510435248</v>
      </c>
      <c r="I21" s="303">
        <v>0.002405985006657273</v>
      </c>
      <c r="J21" s="303">
        <v>0.007692570880161921</v>
      </c>
      <c r="K21" s="303">
        <v>17649.542630273852</v>
      </c>
    </row>
    <row r="22" spans="1:11" ht="15.75">
      <c r="A22" s="285" t="s">
        <v>8</v>
      </c>
      <c r="B22" s="286">
        <f>'Cálculo da Tarifa'!L35</f>
        <v>0.14856577466870585</v>
      </c>
      <c r="C22" s="287">
        <f t="shared" si="1"/>
        <v>0.02391643559527414</v>
      </c>
      <c r="D22" s="296">
        <f>C22*'Cálculo da Tarifa'!$L$59</f>
        <v>0.08992742981946782</v>
      </c>
      <c r="E22" s="288">
        <f>D22*'Cálculo da Tarifa'!$L$12</f>
        <v>196999.99999999994</v>
      </c>
      <c r="F22" s="288">
        <f>E22*'Cálculo da Tarifa'!$T$14</f>
        <v>2363999.999999999</v>
      </c>
      <c r="H22" s="303">
        <v>0.1506667865712554</v>
      </c>
      <c r="I22" s="303">
        <v>0.02685503280399332</v>
      </c>
      <c r="J22" s="303">
        <v>0.08586264783952563</v>
      </c>
      <c r="K22" s="303">
        <v>197000.00000000003</v>
      </c>
    </row>
    <row r="23" spans="1:11" ht="15.75">
      <c r="A23" s="285" t="s">
        <v>81</v>
      </c>
      <c r="B23" s="286">
        <f>'Cálculo da Tarifa'!L36</f>
        <v>0.03393089956953632</v>
      </c>
      <c r="C23" s="287">
        <f t="shared" si="1"/>
        <v>0.005462268655443342</v>
      </c>
      <c r="D23" s="296">
        <f>C23*'Cálculo da Tarifa'!$L$59</f>
        <v>0.02053850287224749</v>
      </c>
      <c r="E23" s="288">
        <f>D23*'Cálculo da Tarifa'!$L$12</f>
        <v>44992.77999999999</v>
      </c>
      <c r="F23" s="288">
        <f>E23*'Cálculo da Tarifa'!$T$14</f>
        <v>539913.3599999999</v>
      </c>
      <c r="H23" s="303">
        <v>0.028540861004599474</v>
      </c>
      <c r="I23" s="303">
        <v>0.005087158065657988</v>
      </c>
      <c r="J23" s="303">
        <v>0.016264990800184124</v>
      </c>
      <c r="K23" s="303">
        <v>37317.7775</v>
      </c>
    </row>
    <row r="24" spans="1:11" ht="15.75">
      <c r="A24" s="285" t="s">
        <v>82</v>
      </c>
      <c r="B24" s="286" t="s">
        <v>118</v>
      </c>
      <c r="C24" s="287" t="s">
        <v>118</v>
      </c>
      <c r="D24" s="296" t="s">
        <v>118</v>
      </c>
      <c r="E24" s="288" t="s">
        <v>118</v>
      </c>
      <c r="F24" s="288"/>
      <c r="H24" s="303" t="s">
        <v>118</v>
      </c>
      <c r="I24" s="303" t="s">
        <v>118</v>
      </c>
      <c r="J24" s="303" t="s">
        <v>118</v>
      </c>
      <c r="K24" s="303" t="s">
        <v>118</v>
      </c>
    </row>
    <row r="25" spans="1:11" ht="15.75">
      <c r="A25" s="290" t="s">
        <v>12</v>
      </c>
      <c r="B25" s="286">
        <f>'Cálculo da Tarifa'!L38</f>
        <v>0.2081624548919032</v>
      </c>
      <c r="C25" s="287">
        <f>B25/$B$45</f>
        <v>0.03351043641698885</v>
      </c>
      <c r="D25" s="296">
        <f>C25*'Cálculo da Tarifa'!$L$59</f>
        <v>0.12600152757311248</v>
      </c>
      <c r="E25" s="288">
        <f>D25*'Cálculo da Tarifa'!$L$12</f>
        <v>276025.9131361222</v>
      </c>
      <c r="F25" s="288">
        <f>E25*'Cálculo da Tarifa'!$T$14</f>
        <v>3312310.9576334665</v>
      </c>
      <c r="H25" s="303">
        <v>0.19664144245334675</v>
      </c>
      <c r="I25" s="303">
        <v>0.03504961184800817</v>
      </c>
      <c r="J25" s="303">
        <v>0.11206288597681727</v>
      </c>
      <c r="K25" s="303">
        <v>257112.83186482932</v>
      </c>
    </row>
    <row r="26" spans="1:11" ht="15.75">
      <c r="A26" s="290" t="s">
        <v>10</v>
      </c>
      <c r="B26" s="286">
        <f>'Cálculo da Tarifa'!L39</f>
        <v>0.1709227744545298</v>
      </c>
      <c r="C26" s="287">
        <f>B26/$B$45</f>
        <v>0.027515513153167734</v>
      </c>
      <c r="D26" s="296">
        <f>C26*'Cálculo da Tarifa'!$L$59</f>
        <v>0.10346020702671403</v>
      </c>
      <c r="E26" s="288">
        <f>D26*'Cálculo da Tarifa'!$L$12</f>
        <v>226645.64999999994</v>
      </c>
      <c r="F26" s="288">
        <f>E26*'Cálculo da Tarifa'!$T$14</f>
        <v>2719747.7999999993</v>
      </c>
      <c r="H26" s="303">
        <v>0.1688007962650443</v>
      </c>
      <c r="I26" s="303">
        <v>0.03008726092989365</v>
      </c>
      <c r="J26" s="303">
        <v>0.09619693666116957</v>
      </c>
      <c r="K26" s="303">
        <v>220710.60000000003</v>
      </c>
    </row>
    <row r="27" spans="1:11" ht="15.75">
      <c r="A27" s="290" t="s">
        <v>11</v>
      </c>
      <c r="B27" s="286">
        <f>'Cálculo da Tarifa'!L40</f>
        <v>0.10722098320075536</v>
      </c>
      <c r="C27" s="287">
        <f>B27/$B$45</f>
        <v>0.017260662793306146</v>
      </c>
      <c r="D27" s="296">
        <f>C27*'Cálculo da Tarifa'!$L$59</f>
        <v>0.06490126991537368</v>
      </c>
      <c r="E27" s="288">
        <f>D27*'Cálculo da Tarifa'!$L$12</f>
        <v>142176.31037599998</v>
      </c>
      <c r="F27" s="288">
        <f>E27*'Cálculo da Tarifa'!$T$14</f>
        <v>1706115.7245119996</v>
      </c>
      <c r="H27" s="303">
        <v>0.10179459071870924</v>
      </c>
      <c r="I27" s="303">
        <v>0.01814399268233648</v>
      </c>
      <c r="J27" s="303">
        <v>0.05801114694057384</v>
      </c>
      <c r="K27" s="303">
        <v>133098.573534</v>
      </c>
    </row>
    <row r="28" spans="1:11" ht="15.75">
      <c r="A28" s="305" t="s">
        <v>143</v>
      </c>
      <c r="B28" s="306">
        <f>SUM(B15:B27)</f>
        <v>3.86907855923346</v>
      </c>
      <c r="C28" s="307">
        <f>SUM(C15:C27)</f>
        <v>0.6228525269787776</v>
      </c>
      <c r="D28" s="308">
        <f>SUM(D15:D27)</f>
        <v>2.3419680029088457</v>
      </c>
      <c r="E28" s="309">
        <f>SUM(E15:E27)</f>
        <v>5130444.598486278</v>
      </c>
      <c r="F28" s="309">
        <f>SUM(F15:F27)</f>
        <v>61565335.18183534</v>
      </c>
      <c r="H28" s="303">
        <v>3.358968532131991</v>
      </c>
      <c r="I28" s="303">
        <v>0.598706670333908</v>
      </c>
      <c r="J28" s="303">
        <v>1.9142236901833611</v>
      </c>
      <c r="K28" s="303">
        <v>4391922.174015797</v>
      </c>
    </row>
    <row r="29" spans="1:11" ht="15.75">
      <c r="A29" s="16"/>
      <c r="B29" s="278"/>
      <c r="C29" s="266"/>
      <c r="D29" s="300"/>
      <c r="E29" s="267"/>
      <c r="F29" s="268"/>
      <c r="H29" s="303"/>
      <c r="I29" s="303"/>
      <c r="J29" s="303"/>
      <c r="K29" s="303"/>
    </row>
    <row r="30" spans="1:11" ht="15.75">
      <c r="A30" s="206" t="s">
        <v>91</v>
      </c>
      <c r="B30" s="278">
        <f>B28+B12</f>
        <v>4.963598088119175</v>
      </c>
      <c r="C30" s="266">
        <f>C28+C12</f>
        <v>0.7990506175466651</v>
      </c>
      <c r="D30" s="278">
        <f>D28+D12</f>
        <v>3.0044848466394765</v>
      </c>
      <c r="E30" s="311">
        <f>E28+E12</f>
        <v>6581790.628023082</v>
      </c>
      <c r="F30" s="311">
        <f>F28+F12</f>
        <v>78981487.536277</v>
      </c>
      <c r="H30" s="303">
        <v>4.4351650325054495</v>
      </c>
      <c r="I30" s="303">
        <v>0.7905292543206159</v>
      </c>
      <c r="J30" s="303">
        <v>2.5275312626123694</v>
      </c>
      <c r="K30" s="303">
        <v>5799071.7880636435</v>
      </c>
    </row>
    <row r="31" spans="1:11" ht="15.75">
      <c r="A31" s="16"/>
      <c r="B31" s="278" t="s">
        <v>118</v>
      </c>
      <c r="C31" s="266" t="s">
        <v>118</v>
      </c>
      <c r="D31" s="300" t="s">
        <v>118</v>
      </c>
      <c r="E31" s="267"/>
      <c r="F31" s="268"/>
      <c r="H31" s="303" t="s">
        <v>118</v>
      </c>
      <c r="I31" s="303" t="s">
        <v>118</v>
      </c>
      <c r="J31" s="303" t="s">
        <v>118</v>
      </c>
      <c r="K31" s="303"/>
    </row>
    <row r="32" spans="1:11" ht="15.75">
      <c r="A32" s="206" t="s">
        <v>92</v>
      </c>
      <c r="B32" s="278" t="s">
        <v>118</v>
      </c>
      <c r="C32" s="266" t="s">
        <v>118</v>
      </c>
      <c r="D32" s="300" t="s">
        <v>118</v>
      </c>
      <c r="E32" s="267"/>
      <c r="F32" s="269"/>
      <c r="H32" s="303" t="s">
        <v>118</v>
      </c>
      <c r="I32" s="303" t="s">
        <v>118</v>
      </c>
      <c r="J32" s="303" t="s">
        <v>118</v>
      </c>
      <c r="K32" s="303"/>
    </row>
    <row r="33" spans="1:11" ht="15.75">
      <c r="A33" s="291" t="s">
        <v>86</v>
      </c>
      <c r="B33" s="281">
        <f>'Cálculo da Tarifa'!L45</f>
        <v>0.4185497378982995</v>
      </c>
      <c r="C33" s="282">
        <f>B33/$B$45</f>
        <v>0.06737903041387446</v>
      </c>
      <c r="D33" s="299">
        <f>C33*'Cálculo da Tarifa'!$L$59</f>
        <v>0.253349752086167</v>
      </c>
      <c r="E33" s="283">
        <f>D33*'Cálculo da Tarifa'!$L$12</f>
        <v>555001.9750499998</v>
      </c>
      <c r="F33" s="283">
        <f>E33*'Cálculo da Tarifa'!$T$14</f>
        <v>6660023.700599997</v>
      </c>
      <c r="H33" s="303">
        <v>0.4198683117219333</v>
      </c>
      <c r="I33" s="303">
        <v>0.07483784277377689</v>
      </c>
      <c r="J33" s="303">
        <v>0.23927639135853468</v>
      </c>
      <c r="K33" s="303">
        <v>548986.6697999999</v>
      </c>
    </row>
    <row r="34" spans="1:11" ht="15.75">
      <c r="A34" s="291" t="s">
        <v>85</v>
      </c>
      <c r="B34" s="281">
        <f>'Cálculo da Tarifa'!L46</f>
        <v>0.005179478013773631</v>
      </c>
      <c r="C34" s="282">
        <f>B34/$B$45</f>
        <v>0.0008338034288838708</v>
      </c>
      <c r="D34" s="299">
        <f>C34*'Cálculo da Tarifa'!$L$59</f>
        <v>0.0031351577886883043</v>
      </c>
      <c r="E34" s="283">
        <f>D34*'Cálculo da Tarifa'!$L$12</f>
        <v>6868.049999999998</v>
      </c>
      <c r="F34" s="283">
        <f>E34*'Cálculo da Tarifa'!$T$14</f>
        <v>82416.59999999998</v>
      </c>
      <c r="H34" s="303">
        <v>0.005115175644395281</v>
      </c>
      <c r="I34" s="303">
        <v>0.0009117351796937468</v>
      </c>
      <c r="J34" s="303">
        <v>0.002915058686702108</v>
      </c>
      <c r="K34" s="303">
        <v>6688.2</v>
      </c>
    </row>
    <row r="35" spans="1:11" ht="15.75">
      <c r="A35" s="291" t="s">
        <v>87</v>
      </c>
      <c r="B35" s="281">
        <f>'Cálculo da Tarifa'!L47</f>
        <v>0.24164125172321213</v>
      </c>
      <c r="C35" s="282">
        <f>B35/$B$45</f>
        <v>0.038899924608389425</v>
      </c>
      <c r="D35" s="299">
        <f>C35*'Cálculo da Tarifa'!$L$59</f>
        <v>0.14626637093425257</v>
      </c>
      <c r="E35" s="283">
        <f>D35*'Cálculo da Tarifa'!$L$12</f>
        <v>320419.1994799999</v>
      </c>
      <c r="F35" s="283">
        <f>E35*'Cálculo da Tarifa'!$T$14</f>
        <v>3845030.3937599985</v>
      </c>
      <c r="H35" s="303">
        <v>0.22070663605997937</v>
      </c>
      <c r="I35" s="303">
        <v>0.03933902146805689</v>
      </c>
      <c r="J35" s="303">
        <v>0.12577726384907034</v>
      </c>
      <c r="K35" s="303">
        <v>288578.57988000003</v>
      </c>
    </row>
    <row r="36" spans="1:11" ht="15.75">
      <c r="A36" s="291" t="s">
        <v>88</v>
      </c>
      <c r="B36" s="281">
        <f>'Cálculo da Tarifa'!L48</f>
        <v>0.020717912055094524</v>
      </c>
      <c r="C36" s="282">
        <f>B36/$B$45</f>
        <v>0.0033352137155354834</v>
      </c>
      <c r="D36" s="299">
        <f>C36*'Cálculo da Tarifa'!$L$59</f>
        <v>0.012540631154753217</v>
      </c>
      <c r="E36" s="283">
        <f>D36*'Cálculo da Tarifa'!$L$12</f>
        <v>27472.199999999993</v>
      </c>
      <c r="F36" s="283">
        <f>E36*'Cálculo da Tarifa'!$T$14</f>
        <v>329666.3999999999</v>
      </c>
      <c r="H36" s="303">
        <v>0.020460702577581123</v>
      </c>
      <c r="I36" s="303">
        <v>0.003646940718774987</v>
      </c>
      <c r="J36" s="303">
        <v>0.011660234746808431</v>
      </c>
      <c r="K36" s="303">
        <v>26752.8</v>
      </c>
    </row>
    <row r="37" spans="1:11" ht="15.75">
      <c r="A37" s="291" t="s">
        <v>89</v>
      </c>
      <c r="B37" s="281">
        <f>'Cálculo da Tarifa'!L49</f>
        <v>0.015538434041320891</v>
      </c>
      <c r="C37" s="282">
        <f>B37/$B$45</f>
        <v>0.002501410286651612</v>
      </c>
      <c r="D37" s="299">
        <f>C37*'Cálculo da Tarifa'!$L$59</f>
        <v>0.009405473366064912</v>
      </c>
      <c r="E37" s="283">
        <f>D37*'Cálculo da Tarifa'!$L$12</f>
        <v>20604.149999999994</v>
      </c>
      <c r="F37" s="283">
        <f>E37*'Cálculo da Tarifa'!$T$14</f>
        <v>247249.79999999993</v>
      </c>
      <c r="H37" s="303">
        <v>0.015345526933185841</v>
      </c>
      <c r="I37" s="303">
        <v>0.0027352055390812403</v>
      </c>
      <c r="J37" s="303">
        <v>0.008745176060106323</v>
      </c>
      <c r="K37" s="303">
        <v>20064.6</v>
      </c>
    </row>
    <row r="38" spans="1:11" ht="15.75">
      <c r="A38" s="305" t="s">
        <v>144</v>
      </c>
      <c r="B38" s="306">
        <f>SUM(B33:B37)</f>
        <v>0.7016268137317008</v>
      </c>
      <c r="C38" s="307">
        <f>SUM(C33:C37)</f>
        <v>0.11294938245333484</v>
      </c>
      <c r="D38" s="308">
        <f>SUM(D33:D37)</f>
        <v>0.42469738532992596</v>
      </c>
      <c r="E38" s="309">
        <f>SUM(E33:E37)</f>
        <v>930365.5745299998</v>
      </c>
      <c r="F38" s="309">
        <f>SUM(F33:F37)</f>
        <v>11164386.894359997</v>
      </c>
      <c r="H38" s="303">
        <v>0.6814963529370749</v>
      </c>
      <c r="I38" s="303">
        <v>0.12147074567938375</v>
      </c>
      <c r="J38" s="303">
        <v>0.3883741247012219</v>
      </c>
      <c r="K38" s="303">
        <v>891070.8496799999</v>
      </c>
    </row>
    <row r="39" spans="1:11" ht="15.75">
      <c r="A39" s="16"/>
      <c r="B39" s="278"/>
      <c r="C39" s="266"/>
      <c r="D39" s="300"/>
      <c r="E39" s="267"/>
      <c r="F39" s="268"/>
      <c r="H39" s="303"/>
      <c r="I39" s="303"/>
      <c r="J39" s="303"/>
      <c r="K39" s="303"/>
    </row>
    <row r="40" spans="1:11" ht="15.75">
      <c r="A40" s="206" t="s">
        <v>90</v>
      </c>
      <c r="B40" s="278">
        <f>B30+B38</f>
        <v>5.665224901850876</v>
      </c>
      <c r="C40" s="266">
        <f>C38+C30</f>
        <v>0.9119999999999999</v>
      </c>
      <c r="D40" s="278">
        <f>D30+D38</f>
        <v>3.4291822319694023</v>
      </c>
      <c r="E40" s="311">
        <f>E30+E38</f>
        <v>7512156.202553082</v>
      </c>
      <c r="F40" s="311">
        <f>F30+F38</f>
        <v>90145874.43063699</v>
      </c>
      <c r="H40" s="303">
        <v>5.116661385442525</v>
      </c>
      <c r="I40" s="303">
        <v>0.9119999999999997</v>
      </c>
      <c r="J40" s="303">
        <v>2.9159053873135914</v>
      </c>
      <c r="K40" s="303">
        <v>6690142.6377436435</v>
      </c>
    </row>
    <row r="41" spans="1:11" ht="15.75">
      <c r="A41" s="16"/>
      <c r="B41" s="278" t="s">
        <v>118</v>
      </c>
      <c r="C41" s="266" t="s">
        <v>118</v>
      </c>
      <c r="D41" s="300" t="s">
        <v>118</v>
      </c>
      <c r="E41" s="267"/>
      <c r="F41" s="268"/>
      <c r="H41" s="303" t="s">
        <v>118</v>
      </c>
      <c r="I41" s="303" t="s">
        <v>118</v>
      </c>
      <c r="J41" s="303" t="s">
        <v>118</v>
      </c>
      <c r="K41" s="303"/>
    </row>
    <row r="42" spans="1:11" ht="15.75">
      <c r="A42" s="292" t="s">
        <v>93</v>
      </c>
      <c r="B42" s="286">
        <f>'Cálculo da Tarifa'!L53</f>
        <v>0.29816973167636185</v>
      </c>
      <c r="C42" s="287">
        <f>B42/$B$45</f>
        <v>0.04799999999999999</v>
      </c>
      <c r="D42" s="296">
        <f>C42*'Cálculo da Tarifa'!$L$59</f>
        <v>0.18048327536681064</v>
      </c>
      <c r="E42" s="288">
        <f>D42*'Cálculo da Tarifa'!$L$12</f>
        <v>395376.64223963587</v>
      </c>
      <c r="F42" s="288">
        <f>E42*'Cálculo da Tarifa'!$T$14</f>
        <v>4744519.706875631</v>
      </c>
      <c r="H42" s="303">
        <v>0.2692979676548699</v>
      </c>
      <c r="I42" s="303">
        <v>0.04800000000000003</v>
      </c>
      <c r="J42" s="303">
        <v>0.1534687045954523</v>
      </c>
      <c r="K42" s="303">
        <v>352112.7704075605</v>
      </c>
    </row>
    <row r="43" spans="1:11" ht="15.75">
      <c r="A43" s="293" t="s">
        <v>9</v>
      </c>
      <c r="B43" s="286">
        <f>'Cálculo da Tarifa'!L54</f>
        <v>0.2484747763969688</v>
      </c>
      <c r="C43" s="287">
        <f>B43/$B$45</f>
        <v>0.040000000000000084</v>
      </c>
      <c r="D43" s="296">
        <f>C43*'Cálculo da Tarifa'!$L$59</f>
        <v>0.15040272947234254</v>
      </c>
      <c r="E43" s="288">
        <f>D43*'Cálculo da Tarifa'!$L$12</f>
        <v>329480.5351996973</v>
      </c>
      <c r="F43" s="288">
        <f>E43*'Cálculo da Tarifa'!$T$14</f>
        <v>3953766.4223963674</v>
      </c>
      <c r="H43" s="303">
        <v>0.22441497304572522</v>
      </c>
      <c r="I43" s="303">
        <v>0.04000000000000008</v>
      </c>
      <c r="J43" s="303">
        <v>0.1278905871628771</v>
      </c>
      <c r="K43" s="303">
        <v>293427.3086729675</v>
      </c>
    </row>
    <row r="44" spans="1:11" ht="15.75">
      <c r="A44" s="214"/>
      <c r="B44" s="278" t="s">
        <v>118</v>
      </c>
      <c r="C44" s="270"/>
      <c r="D44" s="300" t="s">
        <v>118</v>
      </c>
      <c r="E44" s="267"/>
      <c r="F44" s="271"/>
      <c r="H44" s="303" t="s">
        <v>118</v>
      </c>
      <c r="I44" s="303"/>
      <c r="J44" s="303" t="s">
        <v>118</v>
      </c>
      <c r="K44" s="303"/>
    </row>
    <row r="45" spans="1:11" ht="15.75">
      <c r="A45" s="110"/>
      <c r="B45" s="310">
        <f>B40+B42+B43</f>
        <v>6.211869409924207</v>
      </c>
      <c r="C45" s="272">
        <f>C40+C42+C43</f>
        <v>1</v>
      </c>
      <c r="D45" s="300">
        <f>C45*'Cálculo da Tarifa'!$L$59</f>
        <v>3.760068236808556</v>
      </c>
      <c r="E45" s="267">
        <f>D45*'Cálculo da Tarifa'!$L$12</f>
        <v>8237013.379992415</v>
      </c>
      <c r="F45" s="273">
        <f>F40+F42+F43</f>
        <v>98844160.55990899</v>
      </c>
      <c r="H45" s="303">
        <v>5.61037432614312</v>
      </c>
      <c r="I45" s="303">
        <v>0.9999999999999998</v>
      </c>
      <c r="J45" s="303">
        <v>3.1972646790719206</v>
      </c>
      <c r="K45" s="303">
        <v>7335682.716824171</v>
      </c>
    </row>
    <row r="46" spans="1:6" ht="12.75">
      <c r="A46" s="6"/>
      <c r="B46" s="263"/>
      <c r="C46" s="6"/>
      <c r="D46" s="263"/>
      <c r="E46" s="6"/>
      <c r="F46" s="6"/>
    </row>
    <row r="47" spans="1:6" ht="12.75">
      <c r="A47" s="6"/>
      <c r="B47" s="263"/>
      <c r="C47" s="6"/>
      <c r="D47" s="263"/>
      <c r="E47" s="6"/>
      <c r="F47" s="6"/>
    </row>
    <row r="48" spans="1:6" ht="12.75">
      <c r="A48" s="6"/>
      <c r="B48" s="263"/>
      <c r="C48" s="6"/>
      <c r="D48" s="263"/>
      <c r="E48" s="6"/>
      <c r="F48" s="6"/>
    </row>
    <row r="49" spans="1:6" ht="12.75">
      <c r="A49" s="6"/>
      <c r="B49" s="263"/>
      <c r="C49" s="6"/>
      <c r="D49" s="263"/>
      <c r="E49" s="6"/>
      <c r="F49" s="6"/>
    </row>
    <row r="50" ht="12">
      <c r="D50" s="339"/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&amp;C&amp;A</oddHeader>
    <oddFooter>&amp;CPágina &amp;P de &amp;N</oddFooter>
  </headerFooter>
  <ignoredErrors>
    <ignoredError sqref="C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26.75390625" style="0" customWidth="1"/>
    <col min="2" max="2" width="17.625" style="0" customWidth="1"/>
    <col min="3" max="3" width="16.75390625" style="0" customWidth="1"/>
    <col min="4" max="4" width="11.875" style="0" customWidth="1"/>
    <col min="5" max="5" width="6.875" style="0" customWidth="1"/>
  </cols>
  <sheetData>
    <row r="1" spans="1:5" ht="12.75">
      <c r="A1" s="417" t="s">
        <v>118</v>
      </c>
      <c r="B1" s="417" t="s">
        <v>159</v>
      </c>
      <c r="C1" s="417" t="s">
        <v>160</v>
      </c>
      <c r="D1" s="417" t="s">
        <v>147</v>
      </c>
      <c r="E1" s="417" t="s">
        <v>161</v>
      </c>
    </row>
    <row r="2" spans="1:5" ht="12.75">
      <c r="A2" s="418" t="s">
        <v>4</v>
      </c>
      <c r="B2" s="422">
        <v>1511010.451330347</v>
      </c>
      <c r="C2" s="422">
        <v>1621943.8974598283</v>
      </c>
      <c r="D2" s="422">
        <f aca="true" t="shared" si="0" ref="D2:D9">C2-B2</f>
        <v>110933.44612948131</v>
      </c>
      <c r="E2" s="419">
        <f>D2/B2</f>
        <v>0.07341672986564161</v>
      </c>
    </row>
    <row r="3" spans="1:5" ht="12.75">
      <c r="A3" s="418" t="s">
        <v>5</v>
      </c>
      <c r="B3" s="422">
        <v>847149.0498843906</v>
      </c>
      <c r="C3" s="422">
        <v>910478.9054714796</v>
      </c>
      <c r="D3" s="422">
        <f t="shared" si="0"/>
        <v>63329.855587089085</v>
      </c>
      <c r="E3" s="419">
        <f aca="true" t="shared" si="1" ref="E3:E9">D3/B3</f>
        <v>0.07475644999629243</v>
      </c>
    </row>
    <row r="4" spans="1:5" ht="12.75">
      <c r="A4" s="418" t="s">
        <v>66</v>
      </c>
      <c r="B4" s="422">
        <v>90534.13559316001</v>
      </c>
      <c r="C4" s="422">
        <v>96395.41741271398</v>
      </c>
      <c r="D4" s="422">
        <f t="shared" si="0"/>
        <v>5861.281819553973</v>
      </c>
      <c r="E4" s="419">
        <f t="shared" si="1"/>
        <v>0.06474112533523545</v>
      </c>
    </row>
    <row r="5" spans="1:5" ht="12.75">
      <c r="A5" s="420" t="s">
        <v>6</v>
      </c>
      <c r="B5" s="422">
        <v>330573.6409690662</v>
      </c>
      <c r="C5" s="422">
        <v>354890.4597464429</v>
      </c>
      <c r="D5" s="422">
        <f t="shared" si="0"/>
        <v>24316.818777376728</v>
      </c>
      <c r="E5" s="419">
        <f t="shared" si="1"/>
        <v>0.07355946077882296</v>
      </c>
    </row>
    <row r="6" spans="1:5" ht="12.75">
      <c r="A6" s="420" t="s">
        <v>49</v>
      </c>
      <c r="B6" s="422">
        <v>327772.3355097302</v>
      </c>
      <c r="C6" s="422">
        <v>817632.4611269003</v>
      </c>
      <c r="D6" s="422">
        <f t="shared" si="0"/>
        <v>489860.12561717007</v>
      </c>
      <c r="E6" s="419">
        <f t="shared" si="1"/>
        <v>1.4945133330284615</v>
      </c>
    </row>
    <row r="7" spans="1:5" ht="12.75">
      <c r="A7" s="420" t="s">
        <v>7</v>
      </c>
      <c r="B7" s="422">
        <v>17649.542630273852</v>
      </c>
      <c r="C7" s="422">
        <v>18951.862572791095</v>
      </c>
      <c r="D7" s="422">
        <f t="shared" si="0"/>
        <v>1302.3199425172425</v>
      </c>
      <c r="E7" s="419">
        <f t="shared" si="1"/>
        <v>0.07378774452111882</v>
      </c>
    </row>
    <row r="8" spans="1:5" ht="12.75">
      <c r="A8" s="421" t="s">
        <v>12</v>
      </c>
      <c r="B8" s="422">
        <v>257112.83186482932</v>
      </c>
      <c r="C8" s="422">
        <v>276025.9131361222</v>
      </c>
      <c r="D8" s="422">
        <f t="shared" si="0"/>
        <v>18913.081271292904</v>
      </c>
      <c r="E8" s="419">
        <f t="shared" si="1"/>
        <v>0.07355946077882253</v>
      </c>
    </row>
    <row r="9" spans="1:5" ht="12.75">
      <c r="A9" s="421" t="s">
        <v>11</v>
      </c>
      <c r="B9" s="422">
        <v>133098.573534</v>
      </c>
      <c r="C9" s="422">
        <v>142176.31037599998</v>
      </c>
      <c r="D9" s="422">
        <f t="shared" si="0"/>
        <v>9077.736841999984</v>
      </c>
      <c r="E9" s="419">
        <f t="shared" si="1"/>
        <v>0.06820311143065015</v>
      </c>
    </row>
    <row r="10" spans="1:5" ht="12.75">
      <c r="A10" s="423"/>
      <c r="B10" s="424">
        <f>SUM(B2:B9)</f>
        <v>3514900.5613157973</v>
      </c>
      <c r="C10" s="424">
        <f>SUM(C2:C9)</f>
        <v>4238495.227302278</v>
      </c>
      <c r="D10" s="424"/>
      <c r="E10" s="4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DFV 1</cp:lastModifiedBy>
  <cp:lastPrinted>2017-03-02T20:46:25Z</cp:lastPrinted>
  <dcterms:created xsi:type="dcterms:W3CDTF">1999-04-07T20:57:43Z</dcterms:created>
  <dcterms:modified xsi:type="dcterms:W3CDTF">2017-10-13T18:15:39Z</dcterms:modified>
  <cp:category/>
  <cp:version/>
  <cp:contentType/>
  <cp:contentStatus/>
</cp:coreProperties>
</file>