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6615" tabRatio="978" activeTab="2"/>
  </bookViews>
  <sheets>
    <sheet name="KM, PASSAGEIROS E PESSOAL" sheetId="1" r:id="rId1"/>
    <sheet name="FROTA E CUSTOS" sheetId="2" r:id="rId2"/>
    <sheet name="TÁRIFA " sheetId="3" r:id="rId3"/>
  </sheet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0,3065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0,3969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0,6718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<sst xmlns="http://schemas.openxmlformats.org/spreadsheetml/2006/main" count="214" uniqueCount="148">
  <si>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</si>
  <si>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</si>
  <si>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</si>
  <si>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</si>
  <si>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</si>
  <si>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</si>
  <si>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</si>
  <si>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</si>
  <si>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</si>
  <si>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</si>
  <si>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</si>
  <si>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</si>
  <si>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</si>
  <si>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</si>
  <si>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</si>
  <si>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</si>
  <si>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</si>
  <si>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</si>
  <si>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</si>
  <si>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</si>
  <si>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</si>
  <si>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</si>
  <si>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</si>
  <si>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</si>
  <si>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</si>
  <si>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</si>
  <si>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</si>
  <si>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</si>
  <si>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</si>
  <si>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</si>
  <si>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</si>
  <si>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</si>
  <si>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</si>
  <si>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</si>
  <si>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</si>
  <si>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</si>
  <si>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</si>
  <si>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</si>
  <si>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</si>
  <si>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</si>
  <si>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</si>
  <si>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</si>
  <si>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</si>
  <si>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</si>
  <si>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</si>
  <si>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</si>
  <si>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</si>
  <si>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</si>
  <si>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</si>
  <si>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</si>
  <si>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</si>
  <si>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</si>
  <si>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</si>
  <si>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</si>
  <si>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</si>
  <si>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</si>
  <si>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</si>
  <si>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</si>
  <si>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</si>
  <si>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</si>
  <si>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</si>
  <si>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</si>
  <si>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</si>
  <si>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</si>
  <si>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</si>
  <si>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</si>
  <si>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</si>
  <si>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</si>
  <si>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</si>
  <si>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</si>
  <si>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</si>
  <si>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</si>
  <si>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</si>
  <si>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</si>
  <si>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</si>
  <si>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</si>
  <si>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</si>
  <si>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</si>
  <si>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</si>
  <si>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</si>
  <si>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</si>
  <si>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</si>
  <si>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</si>
  <si>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</si>
  <si>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</si>
  <si>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</si>
  <si>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</si>
  <si>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MOTORISTA JUNIOR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</si>
  <si>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</si>
  <si>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</si>
  <si>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</si>
  <si>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</si>
  <si>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</si>
  <si>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</si>
  <si>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</si>
  <si>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</si>
  <si>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</si>
  <si>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</si>
  <si>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</si>
  <si>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</si>
  <si>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</si>
  <si>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</si>
  <si>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</si>
  <si>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</si>
  <si>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</si>
  <si>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</si>
  <si>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</si>
  <si>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</si>
  <si>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</si>
  <si>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</si>
  <si>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</si>
  <si>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</si>
  <si>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</si>
  <si>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</si>
  <si>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</si>
  <si>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</si>
  <si>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</si>
  <si>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</si>
  <si>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</si>
  <si>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</si>
  <si>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</si>
  <si>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</si>
  <si>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</si>
  <si>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</si>
  <si>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</si>
  <si>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</si>
  <si>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</si>
  <si>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</si>
  <si>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</si>
  <si>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</si>
  <si>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</si>
  <si>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</si>
  <si>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</si>
  <si>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</si>
  <si>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</si>
  <si>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</si>
  <si>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</si>
  <si>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</si>
  <si>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</si>
  <si>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</si>
  <si>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</si>
  <si>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</si>
  <si>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</si>
  <si>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</si>
  <si>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</si>
  <si>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Maio - 2023</t>
  </si>
  <si>
    <t>FATORES DE UTILIZAÇÃO DE MOTORISTAS E COBRADORES 2023 - versao 103.3</t>
  </si>
  <si>
    <t>Quilometragem Diária Considerada - junho -  versao 103.3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</si>
</sst>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</numFmts>
  <fonts count="84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1" fillId="3" borderId="0" applyNumberFormat="0" applyBorder="0" applyAlignment="0" applyProtection="0"/>
    <xf numFmtId="0" fontId="14" fillId="4" borderId="0" applyNumberFormat="0" applyBorder="0" applyAlignment="0" applyProtection="0"/>
    <xf numFmtId="0" fontId="61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7" borderId="0" applyNumberFormat="0" applyBorder="0" applyAlignment="0" applyProtection="0"/>
    <xf numFmtId="0" fontId="14" fillId="8" borderId="0" applyNumberFormat="0" applyBorder="0" applyAlignment="0" applyProtection="0"/>
    <xf numFmtId="0" fontId="61" fillId="9" borderId="0" applyNumberFormat="0" applyBorder="0" applyAlignment="0" applyProtection="0"/>
    <xf numFmtId="0" fontId="14" fillId="10" borderId="0" applyNumberFormat="0" applyBorder="0" applyAlignment="0" applyProtection="0"/>
    <xf numFmtId="0" fontId="61" fillId="11" borderId="0" applyNumberFormat="0" applyBorder="0" applyAlignment="0" applyProtection="0"/>
    <xf numFmtId="0" fontId="14" fillId="6" borderId="0" applyNumberFormat="0" applyBorder="0" applyAlignment="0" applyProtection="0"/>
    <xf numFmtId="0" fontId="61" fillId="12" borderId="0" applyNumberFormat="0" applyBorder="0" applyAlignment="0" applyProtection="0"/>
    <xf numFmtId="0" fontId="14" fillId="10" borderId="0" applyNumberFormat="0" applyBorder="0" applyAlignment="0" applyProtection="0"/>
    <xf numFmtId="0" fontId="61" fillId="13" borderId="0" applyNumberFormat="0" applyBorder="0" applyAlignment="0" applyProtection="0"/>
    <xf numFmtId="0" fontId="14" fillId="4" borderId="0" applyNumberFormat="0" applyBorder="0" applyAlignment="0" applyProtection="0"/>
    <xf numFmtId="0" fontId="61" fillId="14" borderId="0" applyNumberFormat="0" applyBorder="0" applyAlignment="0" applyProtection="0"/>
    <xf numFmtId="0" fontId="14" fillId="15" borderId="0" applyNumberFormat="0" applyBorder="0" applyAlignment="0" applyProtection="0"/>
    <xf numFmtId="0" fontId="61" fillId="16" borderId="0" applyNumberFormat="0" applyBorder="0" applyAlignment="0" applyProtection="0"/>
    <xf numFmtId="0" fontId="14" fillId="17" borderId="0" applyNumberFormat="0" applyBorder="0" applyAlignment="0" applyProtection="0"/>
    <xf numFmtId="0" fontId="61" fillId="18" borderId="0" applyNumberFormat="0" applyBorder="0" applyAlignment="0" applyProtection="0"/>
    <xf numFmtId="0" fontId="14" fillId="10" borderId="0" applyNumberFormat="0" applyBorder="0" applyAlignment="0" applyProtection="0"/>
    <xf numFmtId="0" fontId="61" fillId="19" borderId="0" applyNumberFormat="0" applyBorder="0" applyAlignment="0" applyProtection="0"/>
    <xf numFmtId="0" fontId="14" fillId="6" borderId="0" applyNumberFormat="0" applyBorder="0" applyAlignment="0" applyProtection="0"/>
    <xf numFmtId="0" fontId="61" fillId="20" borderId="0" applyNumberFormat="0" applyBorder="0" applyAlignment="0" applyProtection="0"/>
    <xf numFmtId="0" fontId="15" fillId="1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62" fillId="23" borderId="0" applyNumberFormat="0" applyBorder="0" applyAlignment="0" applyProtection="0"/>
    <xf numFmtId="0" fontId="15" fillId="24" borderId="0" applyNumberFormat="0" applyBorder="0" applyAlignment="0" applyProtection="0"/>
    <xf numFmtId="0" fontId="62" fillId="25" borderId="0" applyNumberFormat="0" applyBorder="0" applyAlignment="0" applyProtection="0"/>
    <xf numFmtId="0" fontId="15" fillId="17" borderId="0" applyNumberFormat="0" applyBorder="0" applyAlignment="0" applyProtection="0"/>
    <xf numFmtId="0" fontId="62" fillId="26" borderId="0" applyNumberFormat="0" applyBorder="0" applyAlignment="0" applyProtection="0"/>
    <xf numFmtId="0" fontId="15" fillId="10" borderId="0" applyNumberFormat="0" applyBorder="0" applyAlignment="0" applyProtection="0"/>
    <xf numFmtId="0" fontId="62" fillId="27" borderId="0" applyNumberFormat="0" applyBorder="0" applyAlignment="0" applyProtection="0"/>
    <xf numFmtId="0" fontId="15" fillId="4" borderId="0" applyNumberFormat="0" applyBorder="0" applyAlignment="0" applyProtection="0"/>
    <xf numFmtId="0" fontId="62" fillId="28" borderId="0" applyNumberFormat="0" applyBorder="0" applyAlignment="0" applyProtection="0"/>
    <xf numFmtId="0" fontId="16" fillId="10" borderId="0" applyNumberFormat="0" applyBorder="0" applyAlignment="0" applyProtection="0"/>
    <xf numFmtId="0" fontId="63" fillId="29" borderId="0" applyNumberFormat="0" applyBorder="0" applyAlignment="0" applyProtection="0"/>
    <xf numFmtId="0" fontId="17" fillId="30" borderId="1" applyNumberFormat="0" applyAlignment="0" applyProtection="0"/>
    <xf numFmtId="0" fontId="64" fillId="31" borderId="2" applyNumberFormat="0" applyAlignment="0" applyProtection="0"/>
    <xf numFmtId="0" fontId="18" fillId="32" borderId="3" applyNumberFormat="0" applyAlignment="0" applyProtection="0"/>
    <xf numFmtId="0" fontId="65" fillId="33" borderId="4" applyNumberFormat="0" applyAlignment="0" applyProtection="0"/>
    <xf numFmtId="0" fontId="19" fillId="0" borderId="5" applyNumberFormat="0" applyFill="0" applyAlignment="0" applyProtection="0"/>
    <xf numFmtId="0" fontId="66" fillId="0" borderId="6" applyNumberFormat="0" applyFill="0" applyAlignment="0" applyProtection="0"/>
    <xf numFmtId="0" fontId="15" fillId="34" borderId="0" applyNumberFormat="0" applyBorder="0" applyAlignment="0" applyProtection="0"/>
    <xf numFmtId="0" fontId="62" fillId="35" borderId="0" applyNumberFormat="0" applyBorder="0" applyAlignment="0" applyProtection="0"/>
    <xf numFmtId="0" fontId="15" fillId="22" borderId="0" applyNumberFormat="0" applyBorder="0" applyAlignment="0" applyProtection="0"/>
    <xf numFmtId="0" fontId="62" fillId="36" borderId="0" applyNumberFormat="0" applyBorder="0" applyAlignment="0" applyProtection="0"/>
    <xf numFmtId="0" fontId="15" fillId="24" borderId="0" applyNumberFormat="0" applyBorder="0" applyAlignment="0" applyProtection="0"/>
    <xf numFmtId="0" fontId="62" fillId="37" borderId="0" applyNumberFormat="0" applyBorder="0" applyAlignment="0" applyProtection="0"/>
    <xf numFmtId="0" fontId="15" fillId="38" borderId="0" applyNumberFormat="0" applyBorder="0" applyAlignment="0" applyProtection="0"/>
    <xf numFmtId="0" fontId="62" fillId="39" borderId="0" applyNumberFormat="0" applyBorder="0" applyAlignment="0" applyProtection="0"/>
    <xf numFmtId="0" fontId="15" fillId="40" borderId="0" applyNumberFormat="0" applyBorder="0" applyAlignment="0" applyProtection="0"/>
    <xf numFmtId="0" fontId="62" fillId="41" borderId="0" applyNumberFormat="0" applyBorder="0" applyAlignment="0" applyProtection="0"/>
    <xf numFmtId="0" fontId="15" fillId="42" borderId="0" applyNumberFormat="0" applyBorder="0" applyAlignment="0" applyProtection="0"/>
    <xf numFmtId="0" fontId="62" fillId="43" borderId="0" applyNumberFormat="0" applyBorder="0" applyAlignment="0" applyProtection="0"/>
    <xf numFmtId="0" fontId="20" fillId="15" borderId="1" applyNumberFormat="0" applyAlignment="0" applyProtection="0"/>
    <xf numFmtId="0" fontId="67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8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69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1" fillId="0" borderId="0">
      <alignment/>
      <protection/>
    </xf>
    <xf numFmtId="0" fontId="0" fillId="6" borderId="7" applyNumberFormat="0" applyFont="0" applyAlignment="0" applyProtection="0"/>
    <xf numFmtId="0" fontId="61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0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3" fillId="0" borderId="12" applyNumberFormat="0" applyFill="0" applyAlignment="0" applyProtection="0"/>
    <xf numFmtId="0" fontId="27" fillId="0" borderId="13" applyNumberFormat="0" applyFill="0" applyAlignment="0" applyProtection="0"/>
    <xf numFmtId="0" fontId="74" fillId="0" borderId="14" applyNumberFormat="0" applyFill="0" applyAlignment="0" applyProtection="0"/>
    <xf numFmtId="0" fontId="28" fillId="0" borderId="15" applyNumberFormat="0" applyFill="0" applyAlignment="0" applyProtection="0"/>
    <xf numFmtId="0" fontId="7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7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79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71" fontId="31" fillId="0" borderId="0" xfId="106" applyNumberFormat="1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8" fillId="0" borderId="0" xfId="0" applyFont="1" applyAlignment="1">
      <alignment/>
    </xf>
    <xf numFmtId="37" fontId="78" fillId="0" borderId="0" xfId="0" applyFont="1" applyAlignment="1">
      <alignment/>
    </xf>
    <xf numFmtId="39" fontId="78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7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79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30" fillId="51" borderId="94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3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0" fillId="49" borderId="0" xfId="0" applyNumberFormat="1" applyFont="1" applyFill="1" applyAlignment="1">
      <alignment/>
    </xf>
    <xf numFmtId="0" fontId="80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207" fontId="7" fillId="0" borderId="73" xfId="0" applyNumberFormat="1" applyFont="1" applyFill="1" applyBorder="1" applyAlignment="1">
      <alignment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3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3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1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0" fillId="0" borderId="112" xfId="0" applyFont="1" applyBorder="1" applyAlignment="1">
      <alignment horizontal="left" vertical="center"/>
    </xf>
    <xf numFmtId="37" fontId="30" fillId="0" borderId="113" xfId="0" applyFont="1" applyBorder="1" applyAlignment="1">
      <alignment horizontal="left" vertical="center"/>
    </xf>
    <xf numFmtId="37" fontId="0" fillId="0" borderId="114" xfId="0" applyBorder="1" applyAlignment="1">
      <alignment horizont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15" xfId="0" applyFont="1" applyBorder="1" applyAlignment="1">
      <alignment horizontal="left" vertical="center"/>
    </xf>
    <xf numFmtId="37" fontId="30" fillId="0" borderId="116" xfId="0" applyFont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0" fillId="0" borderId="117" xfId="0" applyBorder="1" applyAlignment="1">
      <alignment horizontal="center"/>
    </xf>
    <xf numFmtId="37" fontId="38" fillId="0" borderId="0" xfId="0" applyFont="1" applyAlignment="1">
      <alignment horizontal="center" vertical="center"/>
    </xf>
    <xf numFmtId="37" fontId="37" fillId="51" borderId="118" xfId="0" applyFont="1" applyFill="1" applyBorder="1" applyAlignment="1">
      <alignment horizontal="center" vertical="center" wrapText="1"/>
    </xf>
    <xf numFmtId="37" fontId="37" fillId="51" borderId="119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18" xfId="0" applyFont="1" applyFill="1" applyBorder="1" applyAlignment="1">
      <alignment horizontal="center" vertical="center" wrapText="1"/>
    </xf>
    <xf numFmtId="37" fontId="33" fillId="51" borderId="119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20" xfId="0" applyFont="1" applyFill="1" applyBorder="1" applyAlignment="1">
      <alignment horizontal="left" vertical="center"/>
    </xf>
    <xf numFmtId="37" fontId="38" fillId="54" borderId="121" xfId="0" applyFont="1" applyFill="1" applyBorder="1" applyAlignment="1">
      <alignment horizontal="center" vertical="center"/>
    </xf>
    <xf numFmtId="37" fontId="38" fillId="54" borderId="117" xfId="0" applyFont="1" applyFill="1" applyBorder="1" applyAlignment="1">
      <alignment horizontal="center" vertical="center"/>
    </xf>
    <xf numFmtId="37" fontId="38" fillId="54" borderId="122" xfId="0" applyFont="1" applyFill="1" applyBorder="1" applyAlignment="1">
      <alignment horizontal="center" vertical="center"/>
    </xf>
    <xf numFmtId="37" fontId="31" fillId="54" borderId="118" xfId="0" applyFont="1" applyFill="1" applyBorder="1" applyAlignment="1">
      <alignment horizontal="center" vertical="center"/>
    </xf>
    <xf numFmtId="37" fontId="31" fillId="54" borderId="114" xfId="0" applyFont="1" applyFill="1" applyBorder="1" applyAlignment="1">
      <alignment horizontal="center" vertical="center"/>
    </xf>
    <xf numFmtId="37" fontId="31" fillId="54" borderId="119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37" fontId="38" fillId="51" borderId="123" xfId="0" applyFont="1" applyFill="1" applyBorder="1" applyAlignment="1">
      <alignment horizontal="center" vertical="center"/>
    </xf>
    <xf numFmtId="37" fontId="38" fillId="51" borderId="124" xfId="0" applyFont="1" applyFill="1" applyBorder="1" applyAlignment="1">
      <alignment horizontal="center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37" fontId="30" fillId="13" borderId="118" xfId="82" applyFont="1" applyFill="1" applyBorder="1" applyAlignment="1">
      <alignment horizontal="center" vertical="center"/>
      <protection/>
    </xf>
    <xf numFmtId="37" fontId="30" fillId="13" borderId="119" xfId="82" applyFont="1" applyFill="1" applyBorder="1" applyAlignment="1">
      <alignment horizontal="center" vertical="center"/>
      <protection/>
    </xf>
    <xf numFmtId="165" fontId="30" fillId="0" borderId="85" xfId="106" applyFont="1" applyBorder="1" applyAlignment="1">
      <alignment horizontal="left" vertical="center"/>
    </xf>
    <xf numFmtId="165" fontId="30" fillId="0" borderId="125" xfId="106" applyFont="1" applyBorder="1" applyAlignment="1">
      <alignment horizontal="left" vertical="center"/>
    </xf>
    <xf numFmtId="37" fontId="30" fillId="51" borderId="126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7" fillId="0" borderId="0" xfId="0" applyFont="1" applyAlignment="1">
      <alignment horizontal="center" vertical="center" wrapText="1"/>
    </xf>
    <xf numFmtId="37" fontId="38" fillId="19" borderId="123" xfId="0" applyFont="1" applyFill="1" applyBorder="1" applyAlignment="1">
      <alignment horizontal="center" vertical="center"/>
    </xf>
    <xf numFmtId="37" fontId="38" fillId="19" borderId="124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27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18" xfId="0" applyFont="1" applyFill="1" applyBorder="1" applyAlignment="1">
      <alignment horizontal="center" vertical="center"/>
    </xf>
    <xf numFmtId="37" fontId="11" fillId="51" borderId="114" xfId="0" applyFont="1" applyFill="1" applyBorder="1" applyAlignment="1">
      <alignment horizontal="center" vertical="center"/>
    </xf>
    <xf numFmtId="37" fontId="11" fillId="51" borderId="119" xfId="0" applyFont="1" applyFill="1" applyBorder="1" applyAlignment="1">
      <alignment horizontal="center" vertical="center"/>
    </xf>
    <xf numFmtId="165" fontId="30" fillId="0" borderId="128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165" fontId="30" fillId="0" borderId="129" xfId="106" applyFont="1" applyBorder="1" applyAlignment="1">
      <alignment horizontal="left" vertical="center"/>
    </xf>
    <xf numFmtId="165" fontId="30" fillId="0" borderId="130" xfId="106" applyFont="1" applyBorder="1" applyAlignment="1">
      <alignment horizontal="left" vertical="center"/>
    </xf>
    <xf numFmtId="37" fontId="31" fillId="15" borderId="131" xfId="0" applyFont="1" applyFill="1" applyBorder="1" applyAlignment="1">
      <alignment vertical="center"/>
    </xf>
    <xf numFmtId="3" fontId="31" fillId="0" borderId="57" xfId="106" applyNumberFormat="1" applyFont="1" applyBorder="1" applyAlignment="1">
      <alignment horizontal="right" vertical="center"/>
    </xf>
    <xf numFmtId="3" fontId="31" fillId="0" borderId="132" xfId="106" applyNumberFormat="1" applyFont="1" applyBorder="1" applyAlignment="1">
      <alignment horizontal="right" vertical="center"/>
    </xf>
    <xf numFmtId="37" fontId="31" fillId="6" borderId="56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33" xfId="0" applyFont="1" applyFill="1" applyBorder="1" applyAlignment="1">
      <alignment horizontal="center" vertical="center"/>
    </xf>
    <xf numFmtId="9" fontId="31" fillId="0" borderId="134" xfId="86" applyFont="1" applyBorder="1" applyAlignment="1">
      <alignment horizontal="center" vertical="center"/>
    </xf>
    <xf numFmtId="9" fontId="31" fillId="0" borderId="135" xfId="86" applyFont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32" xfId="0" applyNumberFormat="1" applyFont="1" applyFill="1" applyBorder="1" applyAlignment="1">
      <alignment horizontal="center" vertical="center"/>
    </xf>
    <xf numFmtId="3" fontId="31" fillId="0" borderId="134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" fontId="82" fillId="0" borderId="42" xfId="106" applyNumberFormat="1" applyFont="1" applyBorder="1" applyAlignment="1">
      <alignment horizontal="center" vertical="center" shrinkToFit="1"/>
    </xf>
    <xf numFmtId="3" fontId="82" fillId="0" borderId="21" xfId="106" applyNumberFormat="1" applyFont="1" applyBorder="1" applyAlignment="1">
      <alignment horizontal="center" vertical="center" shrinkToFit="1"/>
    </xf>
    <xf numFmtId="170" fontId="34" fillId="6" borderId="136" xfId="0" applyNumberFormat="1" applyFont="1" applyFill="1" applyBorder="1" applyAlignment="1">
      <alignment horizontal="center" vertical="center"/>
    </xf>
    <xf numFmtId="170" fontId="34" fillId="6" borderId="115" xfId="0" applyNumberFormat="1" applyFont="1" applyFill="1" applyBorder="1" applyAlignment="1">
      <alignment horizontal="center" vertical="center"/>
    </xf>
    <xf numFmtId="170" fontId="34" fillId="6" borderId="116" xfId="0" applyNumberFormat="1" applyFont="1" applyFill="1" applyBorder="1" applyAlignment="1">
      <alignment horizontal="center" vertical="center"/>
    </xf>
    <xf numFmtId="168" fontId="39" fillId="6" borderId="136" xfId="0" applyNumberFormat="1" applyFont="1" applyFill="1" applyBorder="1" applyAlignment="1">
      <alignment horizontal="center" vertical="center"/>
    </xf>
    <xf numFmtId="168" fontId="39" fillId="6" borderId="137" xfId="0" applyNumberFormat="1" applyFont="1" applyFill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138" xfId="0" applyFont="1" applyFill="1" applyBorder="1" applyAlignment="1">
      <alignment horizontal="center" vertical="center"/>
    </xf>
    <xf numFmtId="37" fontId="31" fillId="6" borderId="89" xfId="0" applyFont="1" applyFill="1" applyBorder="1" applyAlignment="1">
      <alignment horizontal="center" vertical="center"/>
    </xf>
    <xf numFmtId="37" fontId="11" fillId="30" borderId="136" xfId="0" applyFont="1" applyFill="1" applyBorder="1" applyAlignment="1">
      <alignment vertical="center"/>
    </xf>
    <xf numFmtId="37" fontId="11" fillId="30" borderId="115" xfId="0" applyFont="1" applyFill="1" applyBorder="1" applyAlignment="1">
      <alignment vertical="center"/>
    </xf>
    <xf numFmtId="37" fontId="11" fillId="30" borderId="116" xfId="0" applyFont="1" applyFill="1" applyBorder="1" applyAlignment="1">
      <alignment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82" fillId="0" borderId="45" xfId="106" applyNumberFormat="1" applyFont="1" applyBorder="1" applyAlignment="1">
      <alignment horizontal="center" vertical="center" shrinkToFit="1"/>
    </xf>
    <xf numFmtId="3" fontId="82" fillId="0" borderId="139" xfId="106" applyNumberFormat="1" applyFont="1" applyBorder="1" applyAlignment="1">
      <alignment horizontal="center" vertical="center" shrinkToFit="1"/>
    </xf>
    <xf numFmtId="3" fontId="82" fillId="0" borderId="125" xfId="106" applyNumberFormat="1" applyFont="1" applyBorder="1" applyAlignment="1">
      <alignment horizontal="center" vertical="center" shrinkToFit="1"/>
    </xf>
    <xf numFmtId="37" fontId="42" fillId="0" borderId="0" xfId="0" applyFont="1" applyAlignment="1">
      <alignment horizontal="center" vertical="center"/>
    </xf>
    <xf numFmtId="37" fontId="38" fillId="6" borderId="140" xfId="0" applyFont="1" applyFill="1" applyBorder="1" applyAlignment="1">
      <alignment horizontal="center" vertical="center"/>
    </xf>
    <xf numFmtId="37" fontId="38" fillId="6" borderId="141" xfId="0" applyFont="1" applyFill="1" applyBorder="1" applyAlignment="1">
      <alignment horizontal="center" vertical="center"/>
    </xf>
    <xf numFmtId="3" fontId="31" fillId="0" borderId="134" xfId="106" applyNumberFormat="1" applyFont="1" applyBorder="1" applyAlignment="1">
      <alignment horizontal="right" vertical="center"/>
    </xf>
    <xf numFmtId="3" fontId="31" fillId="0" borderId="135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142" xfId="0" applyFont="1" applyFill="1" applyBorder="1" applyAlignment="1">
      <alignment horizontal="center" vertical="center"/>
    </xf>
    <xf numFmtId="37" fontId="38" fillId="6" borderId="143" xfId="0" applyFont="1" applyFill="1" applyBorder="1" applyAlignment="1">
      <alignment horizontal="center" vertical="center"/>
    </xf>
    <xf numFmtId="37" fontId="38" fillId="6" borderId="144" xfId="0" applyFont="1" applyFill="1" applyBorder="1" applyAlignment="1">
      <alignment horizontal="center" vertical="center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82" fillId="0" borderId="134" xfId="0" applyFont="1" applyBorder="1" applyAlignment="1">
      <alignment horizontal="center" vertical="center"/>
    </xf>
    <xf numFmtId="37" fontId="82" fillId="0" borderId="139" xfId="0" applyFont="1" applyBorder="1" applyAlignment="1">
      <alignment horizontal="center" vertical="center"/>
    </xf>
    <xf numFmtId="37" fontId="82" fillId="0" borderId="42" xfId="0" applyFont="1" applyBorder="1" applyAlignment="1">
      <alignment horizontal="center" vertical="center"/>
    </xf>
    <xf numFmtId="37" fontId="82" fillId="0" borderId="45" xfId="0" applyFont="1" applyBorder="1" applyAlignment="1">
      <alignment horizontal="center" vertical="center"/>
    </xf>
    <xf numFmtId="37" fontId="82" fillId="0" borderId="125" xfId="0" applyFont="1" applyBorder="1" applyAlignment="1">
      <alignment horizontal="center" vertical="center"/>
    </xf>
    <xf numFmtId="37" fontId="82" fillId="0" borderId="135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  <xf numFmtId="214" fontId="41" fillId="15" borderId="70" xfId="77" applyNumberFormat="1" applyFont="1" applyFill="1" applyBorder="1" applyAlignment="1">
      <alignment horizontal="center" vertical="center"/>
    </xf>
    <xf numFmtId="214" fontId="41" fillId="15" borderId="71" xfId="77" applyNumberFormat="1" applyFont="1" applyFill="1" applyBorder="1" applyAlignment="1">
      <alignment horizontal="center" vertic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="130" zoomScaleNormal="130" zoomScalePageLayoutView="0" workbookViewId="0" topLeftCell="A1">
      <selection activeCell="H16" sqref="H16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377" t="s">
        <v>147</v>
      </c>
      <c r="C2" s="378"/>
      <c r="D2" s="378"/>
      <c r="E2" s="378"/>
      <c r="F2" s="378"/>
      <c r="G2" s="378"/>
      <c r="H2" s="378"/>
      <c r="I2" s="379"/>
      <c r="K2" s="374" t="s">
        <v>146</v>
      </c>
      <c r="L2" s="375"/>
      <c r="M2" s="375"/>
      <c r="N2" s="375"/>
      <c r="O2" s="375"/>
      <c r="P2" s="375"/>
      <c r="Q2" s="376"/>
    </row>
    <row r="3" spans="2:17" ht="13.5" customHeight="1" thickBot="1">
      <c r="B3" s="215"/>
      <c r="C3" s="191"/>
      <c r="D3" s="358"/>
      <c r="E3" s="358"/>
      <c r="F3" s="383"/>
      <c r="G3" s="358"/>
      <c r="H3" s="358"/>
      <c r="I3" s="359"/>
      <c r="J3" s="151"/>
      <c r="K3" s="36"/>
      <c r="Q3" s="37"/>
    </row>
    <row r="4" spans="2:21" ht="13.5" customHeight="1" thickBot="1">
      <c r="B4" s="381">
        <v>45108</v>
      </c>
      <c r="C4" s="382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6" t="s">
        <v>26</v>
      </c>
      <c r="J4" s="152"/>
      <c r="K4" s="36"/>
      <c r="L4" s="362" t="s">
        <v>46</v>
      </c>
      <c r="M4" s="363"/>
      <c r="N4" s="328"/>
      <c r="O4" s="362" t="s">
        <v>47</v>
      </c>
      <c r="P4" s="363"/>
      <c r="Q4" s="37"/>
      <c r="S4" s="194"/>
      <c r="T4" s="194"/>
      <c r="U4" s="194"/>
    </row>
    <row r="5" spans="2:21" s="7" customFormat="1" ht="13.5" customHeight="1">
      <c r="B5" s="318" t="s">
        <v>29</v>
      </c>
      <c r="C5" s="316">
        <v>20</v>
      </c>
      <c r="D5" s="349">
        <v>3846.732</v>
      </c>
      <c r="E5" s="348">
        <v>29775.17</v>
      </c>
      <c r="F5" s="311">
        <v>3059.928</v>
      </c>
      <c r="G5" s="299">
        <f aca="true" t="shared" si="0" ref="G5:I7">D5*$C5</f>
        <v>76934.64</v>
      </c>
      <c r="H5" s="299">
        <f t="shared" si="0"/>
        <v>595503.3999999999</v>
      </c>
      <c r="I5" s="300">
        <f t="shared" si="0"/>
        <v>61198.56</v>
      </c>
      <c r="J5" s="153"/>
      <c r="K5" s="36"/>
      <c r="L5" s="321" t="s">
        <v>13</v>
      </c>
      <c r="M5" s="336">
        <v>2141.02</v>
      </c>
      <c r="N5" s="322"/>
      <c r="O5" s="333" t="s">
        <v>13</v>
      </c>
      <c r="P5" s="344">
        <v>2021.31</v>
      </c>
      <c r="Q5" s="37"/>
      <c r="S5" s="195"/>
      <c r="T5" s="195"/>
      <c r="U5" s="195"/>
    </row>
    <row r="6" spans="2:21" ht="13.5" customHeight="1">
      <c r="B6" s="319" t="s">
        <v>30</v>
      </c>
      <c r="C6" s="317">
        <v>5</v>
      </c>
      <c r="D6" s="312">
        <v>7800.375</v>
      </c>
      <c r="E6" s="312">
        <v>16513.327</v>
      </c>
      <c r="F6" s="313">
        <v>2232.998</v>
      </c>
      <c r="G6" s="301">
        <f t="shared" si="0"/>
        <v>39001.875</v>
      </c>
      <c r="H6" s="301">
        <f t="shared" si="0"/>
        <v>82566.63500000001</v>
      </c>
      <c r="I6" s="302">
        <f t="shared" si="0"/>
        <v>11164.99</v>
      </c>
      <c r="J6" s="152"/>
      <c r="K6" s="36"/>
      <c r="L6" s="323" t="s">
        <v>14</v>
      </c>
      <c r="M6" s="336">
        <v>1517.11</v>
      </c>
      <c r="N6" s="322"/>
      <c r="O6" s="334" t="s">
        <v>14</v>
      </c>
      <c r="P6" s="345">
        <v>1193.45</v>
      </c>
      <c r="Q6" s="37"/>
      <c r="S6" s="194"/>
      <c r="T6" s="194"/>
      <c r="U6" s="194"/>
    </row>
    <row r="7" spans="2:21" ht="13.5" customHeight="1">
      <c r="B7" s="320" t="s">
        <v>31</v>
      </c>
      <c r="C7" s="309">
        <v>6</v>
      </c>
      <c r="D7" s="314">
        <v>10678.231</v>
      </c>
      <c r="E7" s="314">
        <v>4336.173</v>
      </c>
      <c r="F7" s="315">
        <v>347.645</v>
      </c>
      <c r="G7" s="303">
        <f t="shared" si="0"/>
        <v>64069.386</v>
      </c>
      <c r="H7" s="303">
        <f t="shared" si="0"/>
        <v>26017.038</v>
      </c>
      <c r="I7" s="304">
        <f t="shared" si="0"/>
        <v>2085.87</v>
      </c>
      <c r="J7" s="152"/>
      <c r="K7" s="36"/>
      <c r="L7" s="324" t="s">
        <v>15</v>
      </c>
      <c r="M7" s="336">
        <v>845.11</v>
      </c>
      <c r="N7" s="322"/>
      <c r="O7" s="334" t="s">
        <v>15</v>
      </c>
      <c r="P7" s="345">
        <v>405.35</v>
      </c>
      <c r="Q7" s="37"/>
      <c r="S7" s="194"/>
      <c r="T7" s="194"/>
      <c r="U7" s="194"/>
    </row>
    <row r="8" spans="2:21" ht="13.5" customHeight="1">
      <c r="B8" s="320" t="s">
        <v>122</v>
      </c>
      <c r="C8" s="309">
        <f>SUM(C5:C7)</f>
        <v>31</v>
      </c>
      <c r="D8" s="310" t="s">
        <v>107</v>
      </c>
      <c r="E8" s="360" t="s">
        <v>22</v>
      </c>
      <c r="F8" s="361"/>
      <c r="G8" s="305">
        <f>SUM(G5:G7)</f>
        <v>180005.901</v>
      </c>
      <c r="H8" s="305">
        <f>SUM(H5:H7)</f>
        <v>704087.0729999999</v>
      </c>
      <c r="I8" s="306">
        <f>SUM(I5:I7)</f>
        <v>74449.42</v>
      </c>
      <c r="J8" s="152"/>
      <c r="K8" s="36"/>
      <c r="L8" s="325" t="s">
        <v>16</v>
      </c>
      <c r="M8" s="337">
        <f>M5/6</f>
        <v>356.83666666666664</v>
      </c>
      <c r="N8" s="262"/>
      <c r="O8" s="335" t="s">
        <v>16</v>
      </c>
      <c r="P8" s="346">
        <f>P5/6</f>
        <v>336.885</v>
      </c>
      <c r="Q8" s="37"/>
      <c r="S8" s="194"/>
      <c r="T8" s="194"/>
      <c r="U8" s="194"/>
    </row>
    <row r="9" spans="2:22" ht="13.5" customHeight="1" thickBot="1">
      <c r="B9" s="215"/>
      <c r="C9" s="284" t="s">
        <v>140</v>
      </c>
      <c r="D9" s="217"/>
      <c r="E9" s="355" t="s">
        <v>23</v>
      </c>
      <c r="F9" s="356"/>
      <c r="G9" s="307">
        <f>G8</f>
        <v>180005.901</v>
      </c>
      <c r="H9" s="307">
        <f>H8</f>
        <v>704087.0729999999</v>
      </c>
      <c r="I9" s="308">
        <f>I8</f>
        <v>74449.42</v>
      </c>
      <c r="J9" s="152"/>
      <c r="K9" s="36"/>
      <c r="L9" s="323" t="s">
        <v>17</v>
      </c>
      <c r="M9" s="338">
        <f>M6/6</f>
        <v>252.85166666666666</v>
      </c>
      <c r="N9" s="262"/>
      <c r="O9" s="323" t="s">
        <v>17</v>
      </c>
      <c r="P9" s="338">
        <f>P6/6</f>
        <v>198.90833333333333</v>
      </c>
      <c r="Q9" s="37"/>
      <c r="T9" s="194"/>
      <c r="U9" s="194"/>
      <c r="V9" s="194"/>
    </row>
    <row r="10" spans="2:22" ht="13.5" customHeight="1" thickBot="1">
      <c r="B10" s="218"/>
      <c r="C10" s="219"/>
      <c r="D10" s="219"/>
      <c r="E10" s="372" t="s">
        <v>34</v>
      </c>
      <c r="F10" s="373"/>
      <c r="G10" s="297"/>
      <c r="H10" s="297"/>
      <c r="I10" s="298">
        <f>SUM(G9:I9)</f>
        <v>958542.394</v>
      </c>
      <c r="J10" s="190" t="s">
        <v>140</v>
      </c>
      <c r="K10" s="36"/>
      <c r="L10" s="324" t="s">
        <v>18</v>
      </c>
      <c r="M10" s="339">
        <f>M7/6</f>
        <v>140.85166666666666</v>
      </c>
      <c r="N10" s="262"/>
      <c r="O10" s="324" t="s">
        <v>18</v>
      </c>
      <c r="P10" s="347">
        <f>P7/6</f>
        <v>67.55833333333334</v>
      </c>
      <c r="Q10" s="37"/>
      <c r="T10" s="194"/>
      <c r="U10" s="196"/>
      <c r="V10" s="194"/>
    </row>
    <row r="11" spans="2:22" ht="13.5" thickBot="1">
      <c r="B11" s="380" t="s">
        <v>107</v>
      </c>
      <c r="C11" s="380"/>
      <c r="D11" s="9"/>
      <c r="E11" s="9"/>
      <c r="F11" s="171"/>
      <c r="G11" s="357"/>
      <c r="H11" s="357"/>
      <c r="K11" s="36"/>
      <c r="L11" s="326" t="s">
        <v>49</v>
      </c>
      <c r="M11" s="340">
        <f>C7</f>
        <v>6</v>
      </c>
      <c r="N11" s="262"/>
      <c r="O11" s="326" t="s">
        <v>49</v>
      </c>
      <c r="P11" s="340">
        <f>C7</f>
        <v>6</v>
      </c>
      <c r="Q11" s="37"/>
      <c r="T11" s="194"/>
      <c r="U11" s="196"/>
      <c r="V11" s="194"/>
    </row>
    <row r="12" spans="2:22" ht="12.75">
      <c r="B12" s="370" t="s">
        <v>144</v>
      </c>
      <c r="C12" s="371"/>
      <c r="D12" s="180"/>
      <c r="E12" s="366" t="s">
        <v>132</v>
      </c>
      <c r="F12" s="367"/>
      <c r="K12" s="36"/>
      <c r="L12" s="325" t="s">
        <v>19</v>
      </c>
      <c r="M12" s="341">
        <f>((M8*$C$5)+(M9*$C$6)+(M10*$C$7))/($C$8-$C$7)</f>
        <v>369.8440666666666</v>
      </c>
      <c r="N12" s="262"/>
      <c r="O12" s="325" t="s">
        <v>19</v>
      </c>
      <c r="P12" s="341">
        <f>((P8*$C$5)+(P9*$C$6)+(P10*$C$7))/($C$8-$C$7)</f>
        <v>325.5036666666667</v>
      </c>
      <c r="Q12" s="37"/>
      <c r="T12" s="194"/>
      <c r="U12" s="196"/>
      <c r="V12" s="194"/>
    </row>
    <row r="13" spans="2:22" ht="13.5" customHeight="1" thickBot="1">
      <c r="B13" s="211" t="s">
        <v>45</v>
      </c>
      <c r="C13" s="212" t="s">
        <v>145</v>
      </c>
      <c r="D13" s="181"/>
      <c r="E13" s="368"/>
      <c r="F13" s="369"/>
      <c r="G13" t="s">
        <v>140</v>
      </c>
      <c r="J13" s="283"/>
      <c r="K13" s="36"/>
      <c r="L13" s="327" t="s">
        <v>51</v>
      </c>
      <c r="M13" s="342">
        <f>M12*0.09167</f>
        <v>33.90360559133333</v>
      </c>
      <c r="N13" s="262"/>
      <c r="O13" s="327" t="s">
        <v>51</v>
      </c>
      <c r="P13" s="342">
        <f>P12*0.0909</f>
        <v>29.5882833</v>
      </c>
      <c r="Q13" s="37"/>
      <c r="T13" s="194"/>
      <c r="U13" s="194"/>
      <c r="V13" s="194"/>
    </row>
    <row r="14" spans="2:22" ht="13.5" customHeight="1" thickBot="1">
      <c r="B14" s="213" t="s">
        <v>35</v>
      </c>
      <c r="C14" s="214">
        <v>1873156</v>
      </c>
      <c r="D14" s="187"/>
      <c r="E14" s="220">
        <v>1114</v>
      </c>
      <c r="F14" s="221"/>
      <c r="K14" s="36"/>
      <c r="L14" s="327" t="s">
        <v>20</v>
      </c>
      <c r="M14" s="342">
        <f>SUM(M12:M13)</f>
        <v>403.74767225799997</v>
      </c>
      <c r="N14" s="262"/>
      <c r="O14" s="327" t="s">
        <v>20</v>
      </c>
      <c r="P14" s="342">
        <f>SUM(P12:P13)</f>
        <v>355.0919499666667</v>
      </c>
      <c r="Q14" s="37"/>
      <c r="T14" s="194"/>
      <c r="U14" s="194"/>
      <c r="V14" s="194"/>
    </row>
    <row r="15" spans="3:17" ht="13.5" customHeight="1">
      <c r="C15" s="191"/>
      <c r="D15" s="182"/>
      <c r="K15" s="36"/>
      <c r="L15" s="327" t="s">
        <v>52</v>
      </c>
      <c r="M15" s="342">
        <f>M14*10%</f>
        <v>40.3747672258</v>
      </c>
      <c r="N15" s="262"/>
      <c r="O15" s="327" t="s">
        <v>52</v>
      </c>
      <c r="P15" s="342">
        <f>P14/10</f>
        <v>35.509194996666665</v>
      </c>
      <c r="Q15" s="37"/>
    </row>
    <row r="16" spans="3:17" ht="13.5" customHeight="1">
      <c r="C16" s="191"/>
      <c r="K16" s="36"/>
      <c r="L16" s="323" t="s">
        <v>50</v>
      </c>
      <c r="M16" s="342">
        <f>SUM(M14:M15)</f>
        <v>444.12243948379995</v>
      </c>
      <c r="N16" s="262"/>
      <c r="O16" s="323" t="s">
        <v>50</v>
      </c>
      <c r="P16" s="342">
        <f>SUM(P14:P15)</f>
        <v>390.60114496333335</v>
      </c>
      <c r="Q16" s="37"/>
    </row>
    <row r="17" spans="3:17" ht="13.5" customHeight="1">
      <c r="C17" s="191"/>
      <c r="K17" s="36"/>
      <c r="L17" s="327" t="s">
        <v>53</v>
      </c>
      <c r="M17" s="342">
        <f>M16*5%</f>
        <v>22.206121974189998</v>
      </c>
      <c r="N17" s="262"/>
      <c r="O17" s="327" t="s">
        <v>53</v>
      </c>
      <c r="P17" s="342">
        <f>P16/20</f>
        <v>19.530057248166667</v>
      </c>
      <c r="Q17" s="37"/>
    </row>
    <row r="18" spans="3:17" ht="13.5" customHeight="1">
      <c r="C18" s="191"/>
      <c r="D18" s="191"/>
      <c r="E18" s="192"/>
      <c r="K18" s="36"/>
      <c r="L18" s="323" t="s">
        <v>21</v>
      </c>
      <c r="M18" s="342">
        <f>SUM(M16:M17)</f>
        <v>466.32856145798996</v>
      </c>
      <c r="N18" s="262"/>
      <c r="O18" s="323" t="s">
        <v>21</v>
      </c>
      <c r="P18" s="342">
        <f>SUM(P16:P17)</f>
        <v>410.1312022115</v>
      </c>
      <c r="Q18" s="37"/>
    </row>
    <row r="19" spans="3:17" ht="13.5" customHeight="1" thickBot="1">
      <c r="C19" s="191"/>
      <c r="D19" s="191"/>
      <c r="E19" s="191"/>
      <c r="J19" s="204"/>
      <c r="K19" s="36"/>
      <c r="L19" s="330" t="s">
        <v>1</v>
      </c>
      <c r="M19" s="343">
        <v>150</v>
      </c>
      <c r="N19" s="262"/>
      <c r="O19" s="330" t="s">
        <v>1</v>
      </c>
      <c r="P19" s="343">
        <v>128</v>
      </c>
      <c r="Q19" s="37"/>
    </row>
    <row r="20" spans="3:17" ht="13.5" customHeight="1" thickBot="1">
      <c r="C20" s="191"/>
      <c r="D20" s="191"/>
      <c r="E20" s="191"/>
      <c r="J20" s="204"/>
      <c r="K20" s="36"/>
      <c r="L20" s="331" t="s">
        <v>48</v>
      </c>
      <c r="M20" s="332">
        <f>M18/M19</f>
        <v>3.1088570763865997</v>
      </c>
      <c r="N20" s="329"/>
      <c r="O20" s="331" t="s">
        <v>48</v>
      </c>
      <c r="P20" s="332">
        <f>(P18/P19)-0.0001</f>
        <v>3.2040500172773436</v>
      </c>
      <c r="Q20" s="37"/>
    </row>
    <row r="21" spans="3:17" ht="13.5" customHeight="1">
      <c r="C21" s="191"/>
      <c r="D21" s="191"/>
      <c r="E21" s="191"/>
      <c r="K21" s="38"/>
      <c r="L21" s="39"/>
      <c r="M21" s="39"/>
      <c r="N21" s="39"/>
      <c r="O21" s="39"/>
      <c r="P21" s="39"/>
      <c r="Q21" s="40"/>
    </row>
    <row r="22" spans="4:16" ht="13.5" customHeight="1">
      <c r="D22" s="191"/>
      <c r="E22" s="191"/>
      <c r="L22" s="364" t="s">
        <v>140</v>
      </c>
      <c r="M22" s="364"/>
      <c r="N22" s="364"/>
      <c r="O22" s="364"/>
      <c r="P22" s="364"/>
    </row>
    <row r="23" ht="13.5" customHeight="1">
      <c r="D23" s="191"/>
    </row>
    <row r="24" ht="13.5" customHeight="1">
      <c r="D24" s="191"/>
    </row>
    <row r="25" spans="7:13" ht="13.5" customHeight="1">
      <c r="G25" s="365"/>
      <c r="H25" s="365"/>
      <c r="I25" s="365"/>
      <c r="J25" s="365"/>
      <c r="K25" s="365"/>
      <c r="L25" s="365"/>
      <c r="M25" s="365"/>
    </row>
    <row r="27" spans="9:13" ht="12">
      <c r="I27" s="186"/>
      <c r="J27" s="35"/>
      <c r="K27" s="185"/>
      <c r="L27" s="186"/>
      <c r="M27" s="189"/>
    </row>
    <row r="34" spans="7:8" ht="12">
      <c r="G34" s="204"/>
      <c r="H34" s="204"/>
    </row>
    <row r="35" spans="7:8" ht="12">
      <c r="G35" s="204"/>
      <c r="H35" s="204"/>
    </row>
    <row r="47" ht="12">
      <c r="M47" s="133"/>
    </row>
  </sheetData>
  <sheetProtection/>
  <mergeCells count="16"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  <mergeCell ref="E9:F9"/>
    <mergeCell ref="G11:H11"/>
    <mergeCell ref="G3:I3"/>
    <mergeCell ref="E8:F8"/>
    <mergeCell ref="O4:P4"/>
    <mergeCell ref="L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="115" zoomScaleNormal="115" zoomScalePageLayoutView="0" workbookViewId="0" topLeftCell="A13">
      <selection activeCell="H37" sqref="H37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06" t="s">
        <v>142</v>
      </c>
      <c r="C2" s="407"/>
      <c r="D2" s="407"/>
      <c r="E2" s="407"/>
      <c r="F2" s="407"/>
      <c r="G2" s="407"/>
      <c r="H2" s="408"/>
      <c r="I2" s="8"/>
      <c r="J2" s="12"/>
    </row>
    <row r="3" spans="2:16" s="2" customFormat="1" ht="13.5" customHeight="1">
      <c r="B3" s="388"/>
      <c r="C3" s="389"/>
      <c r="D3" s="14" t="s">
        <v>36</v>
      </c>
      <c r="E3" s="15" t="s">
        <v>130</v>
      </c>
      <c r="F3" s="15" t="s">
        <v>37</v>
      </c>
      <c r="G3" s="15" t="s">
        <v>38</v>
      </c>
      <c r="H3" s="286" t="s">
        <v>39</v>
      </c>
      <c r="I3" s="138"/>
      <c r="J3" s="385" t="s">
        <v>138</v>
      </c>
      <c r="K3" s="386"/>
      <c r="M3" s="156"/>
      <c r="N3" s="156"/>
      <c r="O3" s="156"/>
      <c r="P3" s="156"/>
    </row>
    <row r="4" spans="2:16" s="2" customFormat="1" ht="13.5" customHeight="1">
      <c r="B4" s="392" t="s">
        <v>32</v>
      </c>
      <c r="C4" s="393"/>
      <c r="D4" s="290">
        <v>300000</v>
      </c>
      <c r="E4" s="293">
        <v>334000</v>
      </c>
      <c r="F4" s="13">
        <f>SUM(D4:E4)</f>
        <v>634000</v>
      </c>
      <c r="G4" s="13">
        <f>6*K17</f>
        <v>11549.82</v>
      </c>
      <c r="H4" s="287">
        <f>F4-G4</f>
        <v>622450.18</v>
      </c>
      <c r="I4" s="409" t="s">
        <v>140</v>
      </c>
      <c r="J4" s="268" t="s">
        <v>86</v>
      </c>
      <c r="K4" s="269">
        <v>2482.97</v>
      </c>
      <c r="L4" s="155" t="s">
        <v>107</v>
      </c>
      <c r="M4" s="410"/>
      <c r="N4" s="410"/>
      <c r="O4" s="158"/>
      <c r="P4" s="156"/>
    </row>
    <row r="5" spans="2:12" s="2" customFormat="1" ht="13.5" customHeight="1">
      <c r="B5" s="392" t="s">
        <v>40</v>
      </c>
      <c r="C5" s="393"/>
      <c r="D5" s="291">
        <v>340000</v>
      </c>
      <c r="E5" s="294">
        <v>367000</v>
      </c>
      <c r="F5" s="13">
        <f>SUM(D5:E5)</f>
        <v>707000</v>
      </c>
      <c r="G5" s="13">
        <f>6*K17</f>
        <v>11549.82</v>
      </c>
      <c r="H5" s="287">
        <f>F5-G5</f>
        <v>695450.18</v>
      </c>
      <c r="I5" s="409"/>
      <c r="J5" s="270" t="s">
        <v>87</v>
      </c>
      <c r="K5" s="269">
        <v>1963.57</v>
      </c>
      <c r="L5" s="158" t="s">
        <v>140</v>
      </c>
    </row>
    <row r="6" spans="2:12" s="2" customFormat="1" ht="13.5" customHeight="1" thickBot="1">
      <c r="B6" s="411" t="s">
        <v>26</v>
      </c>
      <c r="C6" s="412"/>
      <c r="D6" s="292">
        <v>812000</v>
      </c>
      <c r="E6" s="295">
        <v>748000</v>
      </c>
      <c r="F6" s="288">
        <f>SUM(D6:E6)</f>
        <v>1560000</v>
      </c>
      <c r="G6" s="288">
        <f>10*K18</f>
        <v>21224.1</v>
      </c>
      <c r="H6" s="289">
        <f>F6-G6</f>
        <v>1538775.9</v>
      </c>
      <c r="I6" s="409"/>
      <c r="J6" s="271" t="s">
        <v>47</v>
      </c>
      <c r="K6" s="269">
        <v>1487.39</v>
      </c>
      <c r="L6" s="158"/>
    </row>
    <row r="7" spans="2:15" s="2" customFormat="1" ht="13.5" customHeight="1" thickBot="1">
      <c r="B7" s="18"/>
      <c r="C7" s="18"/>
      <c r="D7" s="19"/>
      <c r="E7" s="19" t="s">
        <v>131</v>
      </c>
      <c r="F7" s="19"/>
      <c r="G7" s="19"/>
      <c r="H7" s="282"/>
      <c r="I7" s="20"/>
      <c r="J7" s="280" t="s">
        <v>100</v>
      </c>
      <c r="K7" s="281">
        <v>0.423893</v>
      </c>
      <c r="M7" s="390" t="s">
        <v>109</v>
      </c>
      <c r="N7" s="391"/>
      <c r="O7" s="158"/>
    </row>
    <row r="8" spans="2:15" s="2" customFormat="1" ht="13.5" customHeight="1" thickBot="1">
      <c r="B8" s="198" t="s">
        <v>123</v>
      </c>
      <c r="C8" s="8"/>
      <c r="D8" s="8"/>
      <c r="E8" s="8"/>
      <c r="F8" s="8"/>
      <c r="G8" s="8"/>
      <c r="H8" s="19"/>
      <c r="I8" s="19"/>
      <c r="J8" s="272"/>
      <c r="K8" s="224"/>
      <c r="M8" s="222" t="s">
        <v>125</v>
      </c>
      <c r="N8" s="296">
        <v>4.3857</v>
      </c>
      <c r="O8" s="155" t="s">
        <v>140</v>
      </c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385" t="s">
        <v>139</v>
      </c>
      <c r="K9" s="386"/>
      <c r="L9" s="8"/>
      <c r="M9" s="222" t="s">
        <v>126</v>
      </c>
      <c r="N9" s="224"/>
      <c r="O9" s="158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9"/>
      <c r="I10" s="19"/>
      <c r="J10" s="394" t="s">
        <v>101</v>
      </c>
      <c r="K10" s="401">
        <v>851.68</v>
      </c>
      <c r="L10" s="45"/>
      <c r="M10" s="225"/>
      <c r="N10" s="226"/>
      <c r="O10" s="159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395"/>
      <c r="K11" s="402"/>
      <c r="L11" s="45" t="s">
        <v>140</v>
      </c>
      <c r="M11" s="390" t="s">
        <v>110</v>
      </c>
      <c r="N11" s="391"/>
      <c r="O11" s="158" t="s">
        <v>140</v>
      </c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2"/>
      <c r="K12" s="224"/>
      <c r="L12" s="45"/>
      <c r="M12" s="227" t="s">
        <v>108</v>
      </c>
      <c r="N12" s="223">
        <v>2</v>
      </c>
      <c r="O12" s="155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385" t="s">
        <v>129</v>
      </c>
      <c r="K13" s="386"/>
      <c r="L13" s="45"/>
      <c r="M13" s="228"/>
      <c r="N13" s="229"/>
      <c r="O13" s="160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8" t="s">
        <v>73</v>
      </c>
      <c r="K14" s="279">
        <v>0</v>
      </c>
      <c r="L14" s="184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2"/>
      <c r="K15" s="224"/>
      <c r="L15" s="45"/>
      <c r="M15" s="207"/>
      <c r="N15" s="161"/>
      <c r="O15" s="156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397" t="s">
        <v>91</v>
      </c>
      <c r="K16" s="398"/>
      <c r="M16" s="207"/>
      <c r="N16" s="157"/>
      <c r="O16" s="156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3" t="s">
        <v>92</v>
      </c>
      <c r="K17" s="274">
        <v>1924.97</v>
      </c>
      <c r="L17" s="405" t="s">
        <v>140</v>
      </c>
      <c r="M17" s="203"/>
      <c r="N17" s="387"/>
      <c r="O17" s="387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5" t="s">
        <v>93</v>
      </c>
      <c r="K18" s="274">
        <v>2122.41</v>
      </c>
      <c r="L18" s="405"/>
      <c r="M18" s="203"/>
      <c r="N18" s="387"/>
      <c r="O18" s="387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5" t="s">
        <v>94</v>
      </c>
      <c r="K19" s="274">
        <v>545</v>
      </c>
      <c r="L19" s="404" t="s">
        <v>140</v>
      </c>
      <c r="M19" s="203"/>
      <c r="N19" s="387"/>
      <c r="O19" s="387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6" t="s">
        <v>95</v>
      </c>
      <c r="K20" s="277">
        <v>585</v>
      </c>
      <c r="L20" s="404"/>
      <c r="M20" s="203"/>
      <c r="N20" s="387"/>
      <c r="O20" s="387"/>
    </row>
    <row r="21" spans="2:15" s="2" customFormat="1" ht="13.5" customHeight="1">
      <c r="B21" s="199">
        <v>2012</v>
      </c>
      <c r="C21" s="200">
        <v>0</v>
      </c>
      <c r="D21" s="267">
        <v>10</v>
      </c>
      <c r="E21" s="267">
        <v>15</v>
      </c>
      <c r="F21" s="267">
        <v>4</v>
      </c>
      <c r="G21" s="202">
        <f t="shared" si="0"/>
        <v>29</v>
      </c>
      <c r="H21" s="8"/>
      <c r="I21" s="8"/>
      <c r="J21" s="8"/>
      <c r="K21" s="179"/>
      <c r="L21" s="35"/>
      <c r="M21" s="203"/>
      <c r="N21" s="387"/>
      <c r="O21" s="387"/>
    </row>
    <row r="22" spans="2:15" s="2" customFormat="1" ht="13.5" customHeight="1" thickBot="1">
      <c r="B22" s="199">
        <v>2011</v>
      </c>
      <c r="C22" s="200">
        <v>0</v>
      </c>
      <c r="D22" s="201">
        <v>0</v>
      </c>
      <c r="E22" s="201">
        <v>0</v>
      </c>
      <c r="F22" s="201">
        <v>0</v>
      </c>
      <c r="G22" s="202">
        <f t="shared" si="0"/>
        <v>0</v>
      </c>
      <c r="H22" s="8"/>
      <c r="I22" s="8"/>
      <c r="J22" s="403" t="s">
        <v>141</v>
      </c>
      <c r="K22" s="403"/>
      <c r="L22" s="35"/>
      <c r="M22" s="203"/>
      <c r="N22" s="387"/>
      <c r="O22" s="387"/>
    </row>
    <row r="23" spans="2:19" s="2" customFormat="1" ht="15" customHeight="1">
      <c r="B23" s="199">
        <v>2010</v>
      </c>
      <c r="C23" s="200">
        <v>0</v>
      </c>
      <c r="D23" s="354">
        <v>5</v>
      </c>
      <c r="E23" s="267">
        <v>2</v>
      </c>
      <c r="F23" s="267">
        <v>6</v>
      </c>
      <c r="G23" s="202">
        <v>0</v>
      </c>
      <c r="H23" s="8"/>
      <c r="I23" s="8"/>
      <c r="J23" s="397" t="s">
        <v>88</v>
      </c>
      <c r="K23" s="398"/>
      <c r="L23" s="35"/>
      <c r="M23" s="203"/>
      <c r="N23" s="387"/>
      <c r="O23" s="387"/>
      <c r="P23"/>
      <c r="Q23" s="150"/>
      <c r="R23" s="150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3" t="s">
        <v>89</v>
      </c>
      <c r="K24" s="351">
        <v>191</v>
      </c>
      <c r="L24" s="35" t="s">
        <v>140</v>
      </c>
      <c r="M24" s="203"/>
      <c r="N24" s="387"/>
      <c r="O24" s="387"/>
      <c r="P24" s="143"/>
      <c r="Q24" s="142"/>
      <c r="R24" s="142"/>
      <c r="S24" s="142"/>
    </row>
    <row r="25" spans="5:19" s="2" customFormat="1" ht="10.5" customHeight="1">
      <c r="E25" s="400" t="s">
        <v>134</v>
      </c>
      <c r="F25" s="400"/>
      <c r="H25" s="8"/>
      <c r="I25" s="8"/>
      <c r="J25" s="275" t="s">
        <v>105</v>
      </c>
      <c r="K25" s="352">
        <v>90.94</v>
      </c>
      <c r="L25" s="33"/>
      <c r="M25" s="203"/>
      <c r="N25" s="387"/>
      <c r="O25" s="387"/>
      <c r="P25" s="143"/>
      <c r="Q25" s="142"/>
      <c r="R25" s="142"/>
      <c r="S25" s="142"/>
    </row>
    <row r="26" spans="2:22" s="2" customFormat="1" ht="13.5" customHeight="1">
      <c r="B26" s="399" t="s">
        <v>127</v>
      </c>
      <c r="C26" s="399"/>
      <c r="D26" s="188"/>
      <c r="E26" s="188"/>
      <c r="F26" s="188"/>
      <c r="G26" s="188"/>
      <c r="H26" s="169"/>
      <c r="I26" s="34"/>
      <c r="J26" s="275" t="s">
        <v>106</v>
      </c>
      <c r="K26" s="352">
        <v>1966.2</v>
      </c>
      <c r="L26" s="285"/>
      <c r="M26" s="203"/>
      <c r="N26" s="156"/>
      <c r="O26" s="156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114</v>
      </c>
      <c r="E27" s="43">
        <v>22</v>
      </c>
      <c r="F27" s="43">
        <v>14</v>
      </c>
      <c r="G27" s="44">
        <f>SUM(C27:F27)</f>
        <v>150</v>
      </c>
      <c r="H27" s="8"/>
      <c r="I27" s="8"/>
      <c r="J27" s="276" t="s">
        <v>90</v>
      </c>
      <c r="K27" s="353">
        <f>K26+K25</f>
        <v>2057.14</v>
      </c>
      <c r="L27" s="33"/>
      <c r="M27" s="203"/>
      <c r="N27" s="156"/>
      <c r="O27" s="156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50" t="s">
        <v>107</v>
      </c>
      <c r="M28" s="156"/>
      <c r="N28" s="156"/>
      <c r="O28" s="156"/>
      <c r="P28" s="143"/>
      <c r="Q28" s="142"/>
      <c r="R28" s="142"/>
      <c r="S28" s="142"/>
    </row>
    <row r="29" spans="2:19" ht="12.75">
      <c r="B29" s="208" t="s">
        <v>43</v>
      </c>
      <c r="C29" s="209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9">
        <v>5.92</v>
      </c>
      <c r="E29" s="209">
        <v>4.79</v>
      </c>
      <c r="F29" s="209">
        <v>9.6</v>
      </c>
      <c r="G29" s="209">
        <v>5.98</v>
      </c>
      <c r="J29" s="205" t="s">
        <v>96</v>
      </c>
      <c r="K29" s="206" t="s">
        <v>107</v>
      </c>
      <c r="M29" s="156"/>
      <c r="N29" s="156"/>
      <c r="O29" s="162"/>
      <c r="P29" s="143"/>
      <c r="Q29" s="142"/>
      <c r="R29" s="142"/>
      <c r="S29" s="142"/>
    </row>
    <row r="30" spans="2:19" ht="12.75">
      <c r="B30" s="41" t="s">
        <v>124</v>
      </c>
      <c r="C30" s="176"/>
      <c r="D30" s="177">
        <f>((D24-D27)/D24)</f>
        <v>0.05</v>
      </c>
      <c r="E30" s="177">
        <f>((E24-E27)/E24)</f>
        <v>0.08333333333333333</v>
      </c>
      <c r="F30" s="177">
        <f>((F24-F27)/F24)</f>
        <v>-0.4</v>
      </c>
      <c r="G30" s="177">
        <f>((G24-G27)/G24)</f>
        <v>0.025974025974025976</v>
      </c>
      <c r="J30" s="60" t="s">
        <v>97</v>
      </c>
      <c r="K30" s="166">
        <v>0</v>
      </c>
      <c r="M30" s="163"/>
      <c r="N30" s="156"/>
      <c r="O30" s="162"/>
      <c r="P30" s="143"/>
      <c r="Q30" s="142"/>
      <c r="R30" s="142"/>
      <c r="S30" s="142"/>
    </row>
    <row r="31" spans="10:19" ht="12.75">
      <c r="J31" s="60" t="s">
        <v>102</v>
      </c>
      <c r="K31" s="166">
        <v>0</v>
      </c>
      <c r="M31" s="155"/>
      <c r="N31" s="162"/>
      <c r="O31" s="162"/>
      <c r="P31" s="141"/>
      <c r="Q31" s="142"/>
      <c r="R31" s="142"/>
      <c r="S31" s="142"/>
    </row>
    <row r="32" spans="6:19" ht="12.75">
      <c r="F32" s="170"/>
      <c r="J32" s="60" t="s">
        <v>103</v>
      </c>
      <c r="K32" s="166">
        <v>0</v>
      </c>
      <c r="M32" s="162"/>
      <c r="N32" s="162"/>
      <c r="O32" s="162"/>
      <c r="P32" s="143"/>
      <c r="Q32" s="142"/>
      <c r="R32" s="142"/>
      <c r="S32" s="142"/>
    </row>
    <row r="33" spans="2:19" ht="12.75">
      <c r="B33" s="197" t="s">
        <v>128</v>
      </c>
      <c r="C33" s="197"/>
      <c r="D33" s="197"/>
      <c r="J33" s="61" t="s">
        <v>104</v>
      </c>
      <c r="K33" s="166">
        <v>0</v>
      </c>
      <c r="M33" s="162"/>
      <c r="N33" s="162"/>
      <c r="O33" s="162"/>
      <c r="P33" s="143"/>
      <c r="Q33" s="142"/>
      <c r="R33" s="142"/>
      <c r="S33" s="142"/>
    </row>
    <row r="34" spans="2:19" ht="15">
      <c r="B34" s="173" t="s">
        <v>121</v>
      </c>
      <c r="C34" s="173" t="s">
        <v>113</v>
      </c>
      <c r="D34" s="173" t="s">
        <v>114</v>
      </c>
      <c r="E34" s="173" t="s">
        <v>21</v>
      </c>
      <c r="J34" s="61" t="s">
        <v>120</v>
      </c>
      <c r="K34" s="166">
        <v>0</v>
      </c>
      <c r="M34" s="164"/>
      <c r="N34" s="162"/>
      <c r="O34" s="162"/>
      <c r="P34" s="141"/>
      <c r="Q34" s="142"/>
      <c r="R34" s="142"/>
      <c r="S34" s="142"/>
    </row>
    <row r="35" spans="2:15" ht="12.75">
      <c r="B35" s="174" t="s">
        <v>26</v>
      </c>
      <c r="C35" s="175">
        <v>20</v>
      </c>
      <c r="D35" s="175">
        <v>0</v>
      </c>
      <c r="E35" s="175">
        <f>D35+C35</f>
        <v>20</v>
      </c>
      <c r="J35" s="62" t="s">
        <v>90</v>
      </c>
      <c r="K35" s="167">
        <v>0</v>
      </c>
      <c r="M35" s="178"/>
      <c r="N35" s="162"/>
      <c r="O35" s="162"/>
    </row>
    <row r="36" spans="2:15" ht="12.75">
      <c r="B36" s="174" t="s">
        <v>115</v>
      </c>
      <c r="C36" s="175">
        <v>156</v>
      </c>
      <c r="D36" s="175">
        <v>0</v>
      </c>
      <c r="E36" s="175">
        <f>D36+C36</f>
        <v>156</v>
      </c>
      <c r="J36" s="155"/>
      <c r="K36" s="165"/>
      <c r="M36" s="167"/>
      <c r="N36" s="162"/>
      <c r="O36" s="162"/>
    </row>
    <row r="37" spans="2:15" ht="12.75">
      <c r="B37" s="174" t="s">
        <v>116</v>
      </c>
      <c r="C37" s="175">
        <v>41</v>
      </c>
      <c r="D37" s="175">
        <v>0</v>
      </c>
      <c r="E37" s="175">
        <f>D37+C37</f>
        <v>41</v>
      </c>
      <c r="M37" s="162"/>
      <c r="N37" s="162"/>
      <c r="O37" s="162"/>
    </row>
    <row r="38" spans="13:21" ht="12.75">
      <c r="M38" s="162"/>
      <c r="N38" s="162"/>
      <c r="O38" s="162"/>
      <c r="Q38" s="146"/>
      <c r="R38" s="146"/>
      <c r="S38" s="146"/>
      <c r="T38" s="147"/>
      <c r="U38" s="147"/>
    </row>
    <row r="39" spans="2:5" ht="15">
      <c r="B39" s="173" t="s">
        <v>121</v>
      </c>
      <c r="C39" s="173" t="s">
        <v>113</v>
      </c>
      <c r="D39" s="173" t="s">
        <v>114</v>
      </c>
      <c r="E39" s="173" t="s">
        <v>21</v>
      </c>
    </row>
    <row r="40" spans="2:21" ht="12.75">
      <c r="B40" s="174" t="s">
        <v>26</v>
      </c>
      <c r="C40" s="150">
        <f>C35/E35</f>
        <v>1</v>
      </c>
      <c r="D40" s="150">
        <f>D35/E35</f>
        <v>0</v>
      </c>
      <c r="E40" s="175">
        <f>D40+C40</f>
        <v>1</v>
      </c>
      <c r="J40" s="396"/>
      <c r="Q40" s="146"/>
      <c r="R40" s="146"/>
      <c r="S40" s="146"/>
      <c r="T40" s="147"/>
      <c r="U40" s="147"/>
    </row>
    <row r="41" spans="2:10" ht="12.75" customHeight="1">
      <c r="B41" s="174" t="s">
        <v>115</v>
      </c>
      <c r="C41" s="150">
        <f>C36/E36</f>
        <v>1</v>
      </c>
      <c r="D41" s="150">
        <f>D36/E36</f>
        <v>0</v>
      </c>
      <c r="E41" s="175">
        <f>D41+C41</f>
        <v>1</v>
      </c>
      <c r="J41" s="396"/>
    </row>
    <row r="42" spans="2:10" ht="12.75" customHeight="1">
      <c r="B42" s="174" t="s">
        <v>116</v>
      </c>
      <c r="C42" s="150">
        <f>C37/E37</f>
        <v>1</v>
      </c>
      <c r="D42" s="150">
        <f>D37/E37</f>
        <v>0</v>
      </c>
      <c r="E42" s="175">
        <f>D42+C42</f>
        <v>1</v>
      </c>
      <c r="J42" s="396"/>
    </row>
    <row r="43" spans="9:11" ht="12.75" customHeight="1">
      <c r="I43" s="34"/>
      <c r="J43" s="396"/>
      <c r="K43" s="34"/>
    </row>
    <row r="44" spans="10:11" ht="12.75" customHeight="1">
      <c r="J44" s="396"/>
      <c r="K44" s="147"/>
    </row>
    <row r="45" ht="12.75" customHeight="1">
      <c r="J45" s="396"/>
    </row>
    <row r="48" spans="8:11" ht="11.25">
      <c r="H48" s="168"/>
      <c r="K48" s="139"/>
    </row>
    <row r="49" spans="3:8" ht="11.25">
      <c r="C49" s="384"/>
      <c r="D49" s="384"/>
      <c r="E49" s="19"/>
      <c r="F49" s="19"/>
      <c r="H49" s="168"/>
    </row>
    <row r="50" spans="3:8" ht="11.25">
      <c r="C50" s="384"/>
      <c r="D50" s="384"/>
      <c r="E50" s="19"/>
      <c r="F50" s="19"/>
      <c r="H50" s="168"/>
    </row>
  </sheetData>
  <sheetProtection/>
  <mergeCells count="25">
    <mergeCell ref="L19:L20"/>
    <mergeCell ref="L17:L18"/>
    <mergeCell ref="B2:H2"/>
    <mergeCell ref="I4:I6"/>
    <mergeCell ref="M4:N4"/>
    <mergeCell ref="M11:N11"/>
    <mergeCell ref="B6:C6"/>
    <mergeCell ref="J40:J45"/>
    <mergeCell ref="J9:K9"/>
    <mergeCell ref="J23:K23"/>
    <mergeCell ref="J16:K16"/>
    <mergeCell ref="B26:C26"/>
    <mergeCell ref="E25:F25"/>
    <mergeCell ref="K10:K11"/>
    <mergeCell ref="J22:K22"/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18" zoomScaleNormal="118" zoomScalePageLayoutView="0" workbookViewId="0" topLeftCell="A46">
      <selection activeCell="L60" sqref="L60:M60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449" t="s">
        <v>133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30" t="s">
        <v>24</v>
      </c>
      <c r="C4" s="463" t="s">
        <v>32</v>
      </c>
      <c r="D4" s="464"/>
      <c r="E4" s="464"/>
      <c r="F4" s="464" t="s">
        <v>40</v>
      </c>
      <c r="G4" s="464" t="s">
        <v>40</v>
      </c>
      <c r="H4" s="464"/>
      <c r="I4" s="464" t="s">
        <v>26</v>
      </c>
      <c r="J4" s="464"/>
      <c r="K4" s="465"/>
      <c r="L4" s="450" t="s">
        <v>27</v>
      </c>
      <c r="M4" s="451"/>
      <c r="N4" s="46">
        <f>41-24</f>
        <v>17</v>
      </c>
      <c r="O4" s="46"/>
      <c r="P4" s="47"/>
    </row>
    <row r="5" spans="2:16" ht="13.5" customHeight="1">
      <c r="B5" s="231" t="s">
        <v>136</v>
      </c>
      <c r="C5" s="467">
        <v>24</v>
      </c>
      <c r="D5" s="468"/>
      <c r="E5" s="468"/>
      <c r="F5" s="458">
        <v>120</v>
      </c>
      <c r="G5" s="458"/>
      <c r="H5" s="458"/>
      <c r="I5" s="458">
        <v>10</v>
      </c>
      <c r="J5" s="458"/>
      <c r="K5" s="459"/>
      <c r="L5" s="460">
        <f>SUM(C5:K5)</f>
        <v>154</v>
      </c>
      <c r="M5" s="461"/>
      <c r="N5" s="46"/>
      <c r="O5" s="46"/>
      <c r="P5" s="47"/>
    </row>
    <row r="6" spans="2:16" ht="13.5" customHeight="1">
      <c r="B6" s="232" t="s">
        <v>143</v>
      </c>
      <c r="C6" s="470">
        <v>41</v>
      </c>
      <c r="D6" s="471"/>
      <c r="E6" s="472"/>
      <c r="F6" s="473">
        <v>135</v>
      </c>
      <c r="G6" s="471"/>
      <c r="H6" s="472"/>
      <c r="I6" s="473">
        <v>20</v>
      </c>
      <c r="J6" s="471"/>
      <c r="K6" s="474"/>
      <c r="L6" s="470">
        <f>SUM(C6:K6)</f>
        <v>196</v>
      </c>
      <c r="M6" s="475"/>
      <c r="N6" s="46"/>
      <c r="O6" s="46"/>
      <c r="P6" s="47"/>
    </row>
    <row r="7" spans="2:16" ht="13.5" customHeight="1">
      <c r="B7" s="231" t="s">
        <v>63</v>
      </c>
      <c r="C7" s="469">
        <f>'FROTA E CUSTOS'!E27</f>
        <v>22</v>
      </c>
      <c r="D7" s="458"/>
      <c r="E7" s="458"/>
      <c r="F7" s="458">
        <f>'FROTA E CUSTOS'!D27</f>
        <v>114</v>
      </c>
      <c r="G7" s="458"/>
      <c r="H7" s="458"/>
      <c r="I7" s="458">
        <f>'FROTA E CUSTOS'!F27</f>
        <v>14</v>
      </c>
      <c r="J7" s="458"/>
      <c r="K7" s="459"/>
      <c r="L7" s="460">
        <f>SUM(C7:K7)</f>
        <v>150</v>
      </c>
      <c r="M7" s="461"/>
      <c r="N7" s="46"/>
      <c r="O7" s="46"/>
      <c r="P7" s="47"/>
    </row>
    <row r="8" spans="2:16" ht="13.5" customHeight="1">
      <c r="B8" s="231" t="s">
        <v>64</v>
      </c>
      <c r="C8" s="426">
        <f>'KM, PASSAGEIROS E PESSOAL'!G9</f>
        <v>180005.901</v>
      </c>
      <c r="D8" s="427"/>
      <c r="E8" s="71">
        <f>C8/L8</f>
        <v>0.18779127780549684</v>
      </c>
      <c r="F8" s="476">
        <f>'KM, PASSAGEIROS E PESSOAL'!H9</f>
        <v>704087.0729999999</v>
      </c>
      <c r="G8" s="427"/>
      <c r="H8" s="71">
        <f>F8/L8</f>
        <v>0.7345393144917072</v>
      </c>
      <c r="I8" s="476">
        <f>'KM, PASSAGEIROS E PESSOAL'!I9</f>
        <v>74449.42</v>
      </c>
      <c r="J8" s="427"/>
      <c r="K8" s="72">
        <f>I8/L8</f>
        <v>0.07766940770279587</v>
      </c>
      <c r="L8" s="452">
        <f>SUM(C8,F8,I8)</f>
        <v>958542.394</v>
      </c>
      <c r="M8" s="453"/>
      <c r="N8" s="46"/>
      <c r="O8" s="46"/>
      <c r="P8" s="47"/>
    </row>
    <row r="9" spans="2:16" ht="13.5" customHeight="1">
      <c r="B9" s="231" t="s">
        <v>111</v>
      </c>
      <c r="C9" s="426">
        <f>E9*C8</f>
        <v>0</v>
      </c>
      <c r="D9" s="427"/>
      <c r="E9" s="71">
        <f>'FROTA E CUSTOS'!D42</f>
        <v>0</v>
      </c>
      <c r="F9" s="426">
        <f>H9*F8</f>
        <v>0</v>
      </c>
      <c r="G9" s="427"/>
      <c r="H9" s="71">
        <f>'FROTA E CUSTOS'!D41</f>
        <v>0</v>
      </c>
      <c r="I9" s="426">
        <f>K9*I8</f>
        <v>0</v>
      </c>
      <c r="J9" s="427"/>
      <c r="K9" s="72">
        <f>'FROTA E CUSTOS'!D40</f>
        <v>0</v>
      </c>
      <c r="L9" s="419">
        <f>(I9+F9+C9)/L8</f>
        <v>0</v>
      </c>
      <c r="M9" s="420"/>
      <c r="N9" s="46"/>
      <c r="O9" s="46"/>
      <c r="P9" s="47"/>
    </row>
    <row r="10" spans="2:16" ht="13.5" customHeight="1">
      <c r="B10" s="231" t="s">
        <v>112</v>
      </c>
      <c r="C10" s="426">
        <f>E10*C8</f>
        <v>180005.901</v>
      </c>
      <c r="D10" s="427"/>
      <c r="E10" s="71">
        <f>'FROTA E CUSTOS'!C42</f>
        <v>1</v>
      </c>
      <c r="F10" s="426">
        <f>H10*F8</f>
        <v>704087.0729999999</v>
      </c>
      <c r="G10" s="427"/>
      <c r="H10" s="71">
        <f>'FROTA E CUSTOS'!C41</f>
        <v>1</v>
      </c>
      <c r="I10" s="426">
        <f>K10*I8</f>
        <v>74449.42</v>
      </c>
      <c r="J10" s="427"/>
      <c r="K10" s="72">
        <f>'FROTA E CUSTOS'!C40</f>
        <v>1</v>
      </c>
      <c r="L10" s="419">
        <f>(I10+F10+C10)/L8</f>
        <v>0.9999999999999999</v>
      </c>
      <c r="M10" s="420"/>
      <c r="N10" s="46"/>
      <c r="P10" s="5"/>
    </row>
    <row r="11" spans="2:14" ht="13.5" customHeight="1">
      <c r="B11" s="231" t="s">
        <v>65</v>
      </c>
      <c r="C11" s="457">
        <f>C8/C7</f>
        <v>8182.08640909091</v>
      </c>
      <c r="D11" s="445"/>
      <c r="E11" s="445"/>
      <c r="F11" s="445">
        <f>F8/F7</f>
        <v>6176.202394736841</v>
      </c>
      <c r="G11" s="445"/>
      <c r="H11" s="445"/>
      <c r="I11" s="445">
        <f>I8/I7</f>
        <v>5317.815714285714</v>
      </c>
      <c r="J11" s="445"/>
      <c r="K11" s="466"/>
      <c r="L11" s="443">
        <f>L8/L7</f>
        <v>6390.282626666666</v>
      </c>
      <c r="M11" s="444"/>
      <c r="N11" s="46"/>
    </row>
    <row r="12" spans="2:16" ht="13.5" customHeight="1">
      <c r="B12" s="232" t="s">
        <v>137</v>
      </c>
      <c r="C12" s="428">
        <f>C8/C6</f>
        <v>4390.387829268293</v>
      </c>
      <c r="D12" s="429"/>
      <c r="E12" s="429"/>
      <c r="F12" s="446">
        <f>F8/F6</f>
        <v>5215.459799999999</v>
      </c>
      <c r="G12" s="447"/>
      <c r="H12" s="448"/>
      <c r="I12" s="446">
        <f>I8/I6</f>
        <v>3722.471</v>
      </c>
      <c r="J12" s="447"/>
      <c r="K12" s="448"/>
      <c r="L12" s="210"/>
      <c r="M12" s="233"/>
      <c r="N12" s="46"/>
      <c r="P12" s="5"/>
    </row>
    <row r="13" spans="2:16" ht="13.5" customHeight="1">
      <c r="B13" s="231" t="s">
        <v>135</v>
      </c>
      <c r="C13" s="457">
        <f>C8/C5</f>
        <v>7500.2458750000005</v>
      </c>
      <c r="D13" s="445"/>
      <c r="E13" s="445"/>
      <c r="F13" s="445">
        <f>F8/F5</f>
        <v>5867.392274999999</v>
      </c>
      <c r="G13" s="445"/>
      <c r="H13" s="445"/>
      <c r="I13" s="445">
        <f>I8/I5</f>
        <v>7444.942</v>
      </c>
      <c r="J13" s="445"/>
      <c r="K13" s="466"/>
      <c r="L13" s="443">
        <f>L8/L5</f>
        <v>6224.301259740259</v>
      </c>
      <c r="M13" s="444"/>
      <c r="N13" s="46"/>
      <c r="P13" s="5"/>
    </row>
    <row r="14" spans="2:16" ht="13.5" customHeight="1">
      <c r="B14" s="454" t="s">
        <v>66</v>
      </c>
      <c r="C14" s="455"/>
      <c r="D14" s="455"/>
      <c r="E14" s="455"/>
      <c r="F14" s="455"/>
      <c r="G14" s="455"/>
      <c r="H14" s="455"/>
      <c r="I14" s="455"/>
      <c r="J14" s="455"/>
      <c r="K14" s="456"/>
      <c r="L14" s="414">
        <f>'KM, PASSAGEIROS E PESSOAL'!C14</f>
        <v>1873156</v>
      </c>
      <c r="M14" s="415"/>
      <c r="N14" s="134"/>
      <c r="P14" s="5"/>
    </row>
    <row r="15" spans="2:16" ht="9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6"/>
      <c r="M15" s="237"/>
      <c r="N15" s="46"/>
      <c r="P15" s="5"/>
    </row>
    <row r="16" spans="2:20" ht="13.5" customHeight="1">
      <c r="B16" s="435" t="s">
        <v>28</v>
      </c>
      <c r="C16" s="437" t="s">
        <v>32</v>
      </c>
      <c r="D16" s="417"/>
      <c r="E16" s="418"/>
      <c r="F16" s="437" t="s">
        <v>40</v>
      </c>
      <c r="G16" s="417" t="s">
        <v>40</v>
      </c>
      <c r="H16" s="442"/>
      <c r="I16" s="416" t="s">
        <v>26</v>
      </c>
      <c r="J16" s="417"/>
      <c r="K16" s="418"/>
      <c r="L16" s="437" t="s">
        <v>67</v>
      </c>
      <c r="M16" s="438"/>
      <c r="N16" s="46"/>
      <c r="P16" s="5"/>
      <c r="T16" s="5">
        <v>12</v>
      </c>
    </row>
    <row r="17" spans="2:16" ht="13.5" customHeight="1">
      <c r="B17" s="436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9" t="s">
        <v>2</v>
      </c>
      <c r="N17" s="46"/>
      <c r="P17" s="5"/>
    </row>
    <row r="18" spans="2:16" ht="9.75" customHeight="1">
      <c r="B18" s="234"/>
      <c r="C18" s="236"/>
      <c r="D18" s="236"/>
      <c r="E18" s="236"/>
      <c r="F18" s="236"/>
      <c r="G18" s="236"/>
      <c r="H18" s="236"/>
      <c r="I18" s="236"/>
      <c r="J18" s="236"/>
      <c r="K18" s="236"/>
      <c r="L18" s="235"/>
      <c r="M18" s="240"/>
      <c r="N18" s="46"/>
      <c r="P18" s="5"/>
    </row>
    <row r="19" spans="2:16" ht="15" customHeight="1">
      <c r="B19" s="241" t="s">
        <v>74</v>
      </c>
      <c r="C19" s="97"/>
      <c r="D19" s="98"/>
      <c r="E19" s="99">
        <f>SUM(E20:E27)</f>
        <v>1.7740943765714285</v>
      </c>
      <c r="F19" s="100"/>
      <c r="G19" s="101"/>
      <c r="H19" s="102">
        <f>SUM(H20:H27)</f>
        <v>2.0631404555714288</v>
      </c>
      <c r="I19" s="103"/>
      <c r="J19" s="101"/>
      <c r="K19" s="99">
        <f>SUM(K20:K27)</f>
        <v>4.067207093</v>
      </c>
      <c r="L19" s="104">
        <f aca="true" t="shared" si="0" ref="L19:L27">($E19*$E$8)+($H19*$H$8)+($K19*$K$8)</f>
        <v>2.1645147917773606</v>
      </c>
      <c r="M19" s="242">
        <f aca="true" t="shared" si="1" ref="M19:M27">L19/$L$52</f>
        <v>0.23006874173459313</v>
      </c>
      <c r="N19" s="46"/>
      <c r="P19" s="5"/>
    </row>
    <row r="20" spans="2:17" ht="15" customHeight="1">
      <c r="B20" s="243" t="s">
        <v>117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4">
        <f t="shared" si="1"/>
        <v>0</v>
      </c>
      <c r="N20" s="46"/>
      <c r="O20" s="107"/>
      <c r="P20" s="107"/>
      <c r="Q20" s="107"/>
    </row>
    <row r="21" spans="2:14" ht="15" customHeight="1">
      <c r="B21" s="243" t="s">
        <v>118</v>
      </c>
      <c r="C21" s="68">
        <v>0.3368</v>
      </c>
      <c r="D21" s="64">
        <f>'FROTA E CUSTOS'!N8</f>
        <v>4.3857</v>
      </c>
      <c r="E21" s="50">
        <f>E10*(C21*D21)</f>
        <v>1.4771037599999999</v>
      </c>
      <c r="F21" s="69">
        <v>0.3982</v>
      </c>
      <c r="G21" s="64">
        <f>'FROTA E CUSTOS'!N8</f>
        <v>4.3857</v>
      </c>
      <c r="H21" s="50">
        <f>H10*(F21*G21)</f>
        <v>1.74638574</v>
      </c>
      <c r="I21" s="70">
        <v>0.7938</v>
      </c>
      <c r="J21" s="64">
        <f>'FROTA E CUSTOS'!N8</f>
        <v>4.3857</v>
      </c>
      <c r="K21" s="50">
        <f>K10*(I21*J21)</f>
        <v>3.48136866</v>
      </c>
      <c r="L21" s="63">
        <f t="shared" si="0"/>
        <v>1.8305720286566727</v>
      </c>
      <c r="M21" s="244">
        <f t="shared" si="1"/>
        <v>0.19457358521525964</v>
      </c>
      <c r="N21" s="148" t="s">
        <v>107</v>
      </c>
    </row>
    <row r="22" spans="2:14" ht="15" customHeight="1">
      <c r="B22" s="243" t="s">
        <v>119</v>
      </c>
      <c r="C22" s="68">
        <v>0.0168</v>
      </c>
      <c r="D22" s="64">
        <f>'FROTA E CUSTOS'!N12</f>
        <v>2</v>
      </c>
      <c r="E22" s="50">
        <f>E10*(C22*D22)</f>
        <v>0.0336</v>
      </c>
      <c r="F22" s="69">
        <v>0.0198</v>
      </c>
      <c r="G22" s="64">
        <f>'FROTA E CUSTOS'!N12</f>
        <v>2</v>
      </c>
      <c r="H22" s="50">
        <f>H10*(F22*G22)</f>
        <v>0.0396</v>
      </c>
      <c r="I22" s="70">
        <v>0.0335</v>
      </c>
      <c r="J22" s="64">
        <f>'FROTA E CUSTOS'!N12</f>
        <v>2</v>
      </c>
      <c r="K22" s="50">
        <f>K10*(I22*J22)</f>
        <v>0.067</v>
      </c>
      <c r="L22" s="63">
        <f t="shared" si="0"/>
        <v>0.04060139410422363</v>
      </c>
      <c r="M22" s="244">
        <f t="shared" si="1"/>
        <v>0.004315568408085923</v>
      </c>
      <c r="N22" s="46"/>
    </row>
    <row r="23" spans="2:14" ht="15" customHeight="1">
      <c r="B23" s="245" t="s">
        <v>0</v>
      </c>
      <c r="C23" s="73">
        <v>0.05</v>
      </c>
      <c r="D23" s="137">
        <f>E20+E21+E22</f>
        <v>1.51070376</v>
      </c>
      <c r="E23" s="51">
        <f>C23*D23</f>
        <v>0.075535188</v>
      </c>
      <c r="F23" s="73">
        <v>0.05</v>
      </c>
      <c r="G23" s="137">
        <f>H20+H21+H22</f>
        <v>1.78598574</v>
      </c>
      <c r="H23" s="52">
        <f>0.05*G23</f>
        <v>0.089299287</v>
      </c>
      <c r="I23" s="73">
        <v>0.05</v>
      </c>
      <c r="J23" s="137">
        <f>K20+K21+K22</f>
        <v>3.54836866</v>
      </c>
      <c r="K23" s="51">
        <f>0.05*J23</f>
        <v>0.17741843300000001</v>
      </c>
      <c r="L23" s="49">
        <f t="shared" si="0"/>
        <v>0.09355867113804482</v>
      </c>
      <c r="M23" s="246">
        <f t="shared" si="1"/>
        <v>0.009944457681167279</v>
      </c>
      <c r="N23" s="46"/>
    </row>
    <row r="24" spans="2:14" ht="15" customHeight="1">
      <c r="B24" s="247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0.10145478401453421</v>
      </c>
      <c r="M24" s="246">
        <f t="shared" si="1"/>
        <v>0.010783744509323586</v>
      </c>
      <c r="N24" s="46"/>
    </row>
    <row r="25" spans="2:14" ht="15" customHeight="1">
      <c r="B25" s="247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0.015699650247856283</v>
      </c>
      <c r="M25" s="246">
        <f t="shared" si="1"/>
        <v>0.0016687337004666744</v>
      </c>
      <c r="N25" s="46"/>
    </row>
    <row r="26" spans="2:14" ht="15" customHeight="1">
      <c r="B26" s="247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0.07181002468599659</v>
      </c>
      <c r="M26" s="246">
        <f t="shared" si="1"/>
        <v>0.007632769286769865</v>
      </c>
      <c r="N26" s="46"/>
    </row>
    <row r="27" spans="2:14" ht="15" customHeight="1">
      <c r="B27" s="248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0.010818238930032283</v>
      </c>
      <c r="M27" s="249">
        <f t="shared" si="1"/>
        <v>0.0011498829335201547</v>
      </c>
      <c r="N27" s="46"/>
    </row>
    <row r="28" spans="2:14" ht="9.75" customHeight="1">
      <c r="B28" s="234"/>
      <c r="C28" s="236"/>
      <c r="D28" s="236"/>
      <c r="E28" s="236"/>
      <c r="F28" s="236"/>
      <c r="G28" s="236"/>
      <c r="H28" s="236"/>
      <c r="I28" s="236"/>
      <c r="J28" s="236"/>
      <c r="K28" s="236"/>
      <c r="L28" s="235"/>
      <c r="M28" s="250"/>
      <c r="N28" s="46"/>
    </row>
    <row r="29" spans="2:17" s="107" customFormat="1" ht="15" customHeight="1">
      <c r="B29" s="251" t="s">
        <v>75</v>
      </c>
      <c r="C29" s="108"/>
      <c r="D29" s="109"/>
      <c r="E29" s="110">
        <f>SUM(E30:E41)</f>
        <v>3.691876132708799</v>
      </c>
      <c r="F29" s="112"/>
      <c r="G29" s="113"/>
      <c r="H29" s="111">
        <f>SUM(H30:H41)</f>
        <v>6.079801927558854</v>
      </c>
      <c r="I29" s="114"/>
      <c r="J29" s="113"/>
      <c r="K29" s="110">
        <f>SUM(K30:K41)</f>
        <v>8.102002586262216</v>
      </c>
      <c r="L29" s="115">
        <f aca="true" t="shared" si="2" ref="L29:L41">($E29*$E$8)+($H29*$H$8)+($K29*$K$8)</f>
        <v>5.7884334186569495</v>
      </c>
      <c r="M29" s="252">
        <f aca="true" t="shared" si="3" ref="M29:M41">L29/$L$52</f>
        <v>0.6152591787794327</v>
      </c>
      <c r="O29" s="5"/>
      <c r="P29" s="130"/>
      <c r="Q29" s="5"/>
    </row>
    <row r="30" spans="2:14" ht="15" customHeight="1">
      <c r="B30" s="243" t="s">
        <v>3</v>
      </c>
      <c r="C30" s="136">
        <v>0.0064</v>
      </c>
      <c r="D30" s="83">
        <f>'FROTA E CUSTOS'!H4</f>
        <v>622450.18</v>
      </c>
      <c r="E30" s="85">
        <f>(C30*D30)/C11</f>
        <v>0.4868784015252922</v>
      </c>
      <c r="F30" s="136">
        <v>0.0064</v>
      </c>
      <c r="G30" s="81">
        <f>'FROTA E CUSTOS'!H5</f>
        <v>695450.18</v>
      </c>
      <c r="H30" s="85">
        <f>(F30*G30)/F11</f>
        <v>0.7206501451106747</v>
      </c>
      <c r="I30" s="136">
        <v>0.0064</v>
      </c>
      <c r="J30" s="81">
        <f>'FROTA E CUSTOS'!H6</f>
        <v>1538775.9</v>
      </c>
      <c r="K30" s="85">
        <f>(I30*J30)/I11</f>
        <v>1.8519193385254042</v>
      </c>
      <c r="L30" s="63">
        <f>($E30*$E$8)+($H30*$H$8)+($K30*$K$8)</f>
        <v>0.7646148588728985</v>
      </c>
      <c r="M30" s="244">
        <f t="shared" si="3"/>
        <v>0.08127178394009126</v>
      </c>
      <c r="N30" s="46"/>
    </row>
    <row r="31" spans="2:14" ht="15" customHeight="1">
      <c r="B31" s="247" t="s">
        <v>4</v>
      </c>
      <c r="C31" s="80">
        <f>'KM, PASSAGEIROS E PESSOAL'!M20</f>
        <v>3.1088570763865997</v>
      </c>
      <c r="D31" s="13">
        <f>'FROTA E CUSTOS'!K5</f>
        <v>1963.57</v>
      </c>
      <c r="E31" s="86">
        <f>(C31*D31*1.423893)/C$11</f>
        <v>1.0623324268861545</v>
      </c>
      <c r="F31" s="80">
        <f>C31</f>
        <v>3.1088570763865997</v>
      </c>
      <c r="G31" s="66">
        <f>'FROTA E CUSTOS'!K4</f>
        <v>2482.97</v>
      </c>
      <c r="H31" s="86">
        <f>(F31*G31*1.423893)/F$11</f>
        <v>1.779623223575993</v>
      </c>
      <c r="I31" s="80">
        <f>F31</f>
        <v>3.1088570763865997</v>
      </c>
      <c r="J31" s="66">
        <f>'FROTA E CUSTOS'!K4</f>
        <v>2482.97</v>
      </c>
      <c r="K31" s="86">
        <f>(I31*J31*1.423893)/I$11</f>
        <v>2.066884940305926</v>
      </c>
      <c r="L31" s="49">
        <f>($E31*$E$8)+($H31*$H$8)+($K31*$K$8)</f>
        <v>1.6672337157015875</v>
      </c>
      <c r="M31" s="246">
        <f t="shared" si="3"/>
        <v>0.17721216995425781</v>
      </c>
      <c r="N31" s="46"/>
    </row>
    <row r="32" spans="2:14" ht="15" customHeight="1">
      <c r="B32" s="247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3.2040500172773436</v>
      </c>
      <c r="G32" s="66">
        <f>'FROTA E CUSTOS'!K6</f>
        <v>1487.39</v>
      </c>
      <c r="H32" s="86">
        <f>(F32*G32*1.423893)/F$11</f>
        <v>1.0987021641463048</v>
      </c>
      <c r="I32" s="76">
        <f>F32</f>
        <v>3.2040500172773436</v>
      </c>
      <c r="J32" s="66">
        <f>'FROTA E CUSTOS'!K6</f>
        <v>1487.39</v>
      </c>
      <c r="K32" s="154">
        <f>(I32*J32*1.423893)/I$11</f>
        <v>1.2760515410629312</v>
      </c>
      <c r="L32" s="49">
        <f>($E32*$E$8)+($H32*$H$8)+($K32*$K$8)</f>
        <v>0.9061501018751797</v>
      </c>
      <c r="M32" s="246">
        <f t="shared" si="3"/>
        <v>0.09631572607083373</v>
      </c>
      <c r="N32" s="46"/>
    </row>
    <row r="33" spans="2:16" ht="15" customHeight="1">
      <c r="B33" s="247" t="s">
        <v>59</v>
      </c>
      <c r="C33" s="80">
        <f>1/5</f>
        <v>0.2</v>
      </c>
      <c r="D33" s="66">
        <f>G33</f>
        <v>2482.97</v>
      </c>
      <c r="E33" s="86">
        <f>(C33*D33*1.423893)/C$11</f>
        <v>0.08642009935954266</v>
      </c>
      <c r="F33" s="80">
        <f>1/5</f>
        <v>0.2</v>
      </c>
      <c r="G33" s="66">
        <f>'FROTA E CUSTOS'!K4</f>
        <v>2482.97</v>
      </c>
      <c r="H33" s="86">
        <f>(F33*G33*1.423893)/F$11</f>
        <v>0.11448729741184727</v>
      </c>
      <c r="I33" s="80">
        <f>1/5</f>
        <v>0.2</v>
      </c>
      <c r="J33" s="66">
        <f>'FROTA E CUSTOS'!K4</f>
        <v>2482.97</v>
      </c>
      <c r="K33" s="86">
        <f>(I33*J33*1.423893)/I$11</f>
        <v>0.13296751117991248</v>
      </c>
      <c r="L33" s="49">
        <f>($E33*$E$8)+($H33*$H$8)+($K33*$K$8)</f>
        <v>0.11065186968277169</v>
      </c>
      <c r="M33" s="246">
        <f t="shared" si="3"/>
        <v>0.011761313216802441</v>
      </c>
      <c r="N33" s="46"/>
      <c r="P33" s="5"/>
    </row>
    <row r="34" spans="2:17" ht="15" customHeight="1">
      <c r="B34" s="245" t="s">
        <v>6</v>
      </c>
      <c r="C34" s="80">
        <v>0.135</v>
      </c>
      <c r="D34" s="84">
        <f>SUM(E31:E33)</f>
        <v>1.1487525262456972</v>
      </c>
      <c r="E34" s="86">
        <f>C34*D34</f>
        <v>0.15508159104316913</v>
      </c>
      <c r="F34" s="80">
        <v>0.135</v>
      </c>
      <c r="G34" s="84">
        <f>SUM(H31:H33)</f>
        <v>2.9928126851341452</v>
      </c>
      <c r="H34" s="89">
        <f>F34*G34</f>
        <v>0.40402971249310965</v>
      </c>
      <c r="I34" s="80">
        <v>0.135</v>
      </c>
      <c r="J34" s="84">
        <f>SUM(K31:K33)</f>
        <v>3.4759039925487696</v>
      </c>
      <c r="K34" s="86">
        <f>I34*J34</f>
        <v>0.46924703899408393</v>
      </c>
      <c r="L34" s="49">
        <f t="shared" si="2"/>
        <v>0.36234481778003774</v>
      </c>
      <c r="M34" s="246">
        <f t="shared" si="3"/>
        <v>0.038514043247655685</v>
      </c>
      <c r="N34" s="46"/>
      <c r="O34" s="107"/>
      <c r="P34" s="107"/>
      <c r="Q34" s="107"/>
    </row>
    <row r="35" spans="2:16" ht="15" customHeight="1">
      <c r="B35" s="245" t="s">
        <v>44</v>
      </c>
      <c r="C35" s="80">
        <f>C8/$L$8/C7</f>
        <v>0.00853596717297713</v>
      </c>
      <c r="D35" s="13">
        <f>'FROTA E CUSTOS'!K10*'KM, PASSAGEIROS E PESSOAL'!E14</f>
        <v>948771.5199999999</v>
      </c>
      <c r="E35" s="87">
        <f>(C35*D35)/C11</f>
        <v>0.9898065290996403</v>
      </c>
      <c r="F35" s="80">
        <f>F8/$L$8/F7</f>
        <v>0.006443327320102695</v>
      </c>
      <c r="G35" s="13">
        <f>D35</f>
        <v>948771.5199999999</v>
      </c>
      <c r="H35" s="90">
        <f>(F35*G35)/F11</f>
        <v>0.9898065290996405</v>
      </c>
      <c r="I35" s="80">
        <f>I8/$L$8/I7</f>
        <v>0.005547814835913991</v>
      </c>
      <c r="J35" s="13">
        <f>G35</f>
        <v>948771.5199999999</v>
      </c>
      <c r="K35" s="87">
        <f>(I35*J35)/I11</f>
        <v>0.9898065290996403</v>
      </c>
      <c r="L35" s="49">
        <f>($E35*$E$8)+($H35*$H$8)+($K35*$K$8)</f>
        <v>0.9898065290996403</v>
      </c>
      <c r="M35" s="246">
        <f t="shared" si="3"/>
        <v>0.10520766297173105</v>
      </c>
      <c r="N35" s="56"/>
      <c r="P35" s="5"/>
    </row>
    <row r="36" spans="2:17" ht="15" customHeight="1">
      <c r="B36" s="245" t="s">
        <v>7</v>
      </c>
      <c r="C36" s="80">
        <f>C32+C33+C34+((C32+C33+C34)*C35)</f>
        <v>0.33785954900294735</v>
      </c>
      <c r="D36" s="84"/>
      <c r="E36" s="88">
        <f>(((D31)*0.1/12)*(C31+C32+C33)*C7)/C8</f>
        <v>0.006617273562259937</v>
      </c>
      <c r="F36" s="76"/>
      <c r="G36" s="82"/>
      <c r="H36" s="88">
        <f>(((G31)*0.1/12)*(F31+F32+F33)*F7)/F8</f>
        <v>0.021819439482930296</v>
      </c>
      <c r="I36" s="73"/>
      <c r="J36" s="82"/>
      <c r="K36" s="88">
        <f>(((J31)*0.1/12)*(I31+I32+I33)*I7)/I8</f>
        <v>0.02534147131580146</v>
      </c>
      <c r="L36" s="49">
        <f t="shared" si="2"/>
        <v>0.019238159445645928</v>
      </c>
      <c r="M36" s="246">
        <f t="shared" si="3"/>
        <v>0.0020448458720463665</v>
      </c>
      <c r="N36" s="46"/>
      <c r="O36" s="107"/>
      <c r="P36" s="107"/>
      <c r="Q36" s="107"/>
    </row>
    <row r="37" spans="2:14" ht="15" customHeight="1">
      <c r="B37" s="245" t="s">
        <v>8</v>
      </c>
      <c r="C37" s="80">
        <f>C8/$L$8/C7</f>
        <v>0.00853596717297713</v>
      </c>
      <c r="D37" s="13">
        <f>'FROTA E CUSTOS'!K35</f>
        <v>0</v>
      </c>
      <c r="E37" s="86">
        <f>D37*C37/C11</f>
        <v>0</v>
      </c>
      <c r="F37" s="80">
        <f>F8/$L$8/F7</f>
        <v>0.006443327320102695</v>
      </c>
      <c r="G37" s="13">
        <f>D37</f>
        <v>0</v>
      </c>
      <c r="H37" s="89">
        <f>G37*F37/F11</f>
        <v>0</v>
      </c>
      <c r="I37" s="80">
        <f>I8/$L$8/I7</f>
        <v>0.005547814835913991</v>
      </c>
      <c r="J37" s="13">
        <f>G37</f>
        <v>0</v>
      </c>
      <c r="K37" s="86">
        <f>J37*I37/I11</f>
        <v>0</v>
      </c>
      <c r="L37" s="49">
        <f t="shared" si="2"/>
        <v>0</v>
      </c>
      <c r="M37" s="246">
        <f t="shared" si="3"/>
        <v>0</v>
      </c>
      <c r="N37" s="46"/>
    </row>
    <row r="38" spans="2:14" ht="15" customHeight="1">
      <c r="B38" s="245" t="s">
        <v>72</v>
      </c>
      <c r="C38" s="73"/>
      <c r="D38" s="13">
        <f>'FROTA E CUSTOS'!K27</f>
        <v>2057.14</v>
      </c>
      <c r="E38" s="86">
        <f>D38/12/C12</f>
        <v>0.0390462847474465</v>
      </c>
      <c r="F38" s="76"/>
      <c r="G38" s="13">
        <f>D38</f>
        <v>2057.14</v>
      </c>
      <c r="H38" s="89">
        <f>G38/12/F13</f>
        <v>0.029217124967723985</v>
      </c>
      <c r="I38" s="73"/>
      <c r="J38" s="13">
        <f>G38</f>
        <v>2057.14</v>
      </c>
      <c r="K38" s="86">
        <f>J38/12/I12</f>
        <v>0.04605229519137512</v>
      </c>
      <c r="L38" s="49">
        <f t="shared" si="2"/>
        <v>0.0323705331423592</v>
      </c>
      <c r="M38" s="246">
        <f t="shared" si="3"/>
        <v>0.003440700824790927</v>
      </c>
      <c r="N38" s="46"/>
    </row>
    <row r="39" spans="2:14" ht="15" customHeight="1">
      <c r="B39" s="245" t="s">
        <v>12</v>
      </c>
      <c r="C39" s="80">
        <v>0.105</v>
      </c>
      <c r="D39" s="84">
        <f>SUM(E31:E33)</f>
        <v>1.1487525262456972</v>
      </c>
      <c r="E39" s="86">
        <f>C39*D39</f>
        <v>0.12061901525579821</v>
      </c>
      <c r="F39" s="80">
        <v>0.105</v>
      </c>
      <c r="G39" s="84">
        <f>SUM(H31:H33)</f>
        <v>2.9928126851341452</v>
      </c>
      <c r="H39" s="89">
        <f>F39*G39</f>
        <v>0.3142453319390852</v>
      </c>
      <c r="I39" s="80">
        <v>0.105</v>
      </c>
      <c r="J39" s="84">
        <f>SUM(K31:K33)</f>
        <v>3.4759039925487696</v>
      </c>
      <c r="K39" s="86">
        <f>I39*J39</f>
        <v>0.3649699192176208</v>
      </c>
      <c r="L39" s="49">
        <f>($E39*$E$8)+($H39*$H$8)+($K39*$K$8)</f>
        <v>0.28182374716225156</v>
      </c>
      <c r="M39" s="246">
        <f t="shared" si="3"/>
        <v>0.029955366970398866</v>
      </c>
      <c r="N39" s="46"/>
    </row>
    <row r="40" spans="2:14" ht="15" customHeight="1">
      <c r="B40" s="245" t="s">
        <v>10</v>
      </c>
      <c r="C40" s="80">
        <v>0.0033</v>
      </c>
      <c r="D40" s="13">
        <f>'FROTA E CUSTOS'!F5</f>
        <v>707000</v>
      </c>
      <c r="E40" s="86">
        <f>C40*D40/$C$12</f>
        <v>0.5314109119122711</v>
      </c>
      <c r="F40" s="80">
        <f>C40</f>
        <v>0.0033</v>
      </c>
      <c r="G40" s="13">
        <f>D40</f>
        <v>707000</v>
      </c>
      <c r="H40" s="86">
        <f>F40*G40/$F$12</f>
        <v>0.4473431086555399</v>
      </c>
      <c r="I40" s="80">
        <f>F40</f>
        <v>0.0033</v>
      </c>
      <c r="J40" s="13">
        <f>G40</f>
        <v>707000</v>
      </c>
      <c r="K40" s="86">
        <f>I40*J40/$I$12</f>
        <v>0.6267610949823383</v>
      </c>
      <c r="L40" s="49">
        <f t="shared" si="2"/>
        <v>0.47706559758065326</v>
      </c>
      <c r="M40" s="246">
        <f t="shared" si="3"/>
        <v>0.05070784555374488</v>
      </c>
      <c r="N40" s="46"/>
    </row>
    <row r="41" spans="2:16" ht="15" customHeight="1">
      <c r="B41" s="245" t="s">
        <v>11</v>
      </c>
      <c r="C41" s="80">
        <v>0.3778</v>
      </c>
      <c r="D41" s="13">
        <f>G41</f>
        <v>2482.97</v>
      </c>
      <c r="E41" s="86">
        <f>C41*D41/$C$12</f>
        <v>0.2136635993172246</v>
      </c>
      <c r="F41" s="80">
        <f>C41</f>
        <v>0.3778</v>
      </c>
      <c r="G41" s="66">
        <f>G31</f>
        <v>2482.97</v>
      </c>
      <c r="H41" s="86">
        <f>F41*G41/$F$13</f>
        <v>0.15987785067600582</v>
      </c>
      <c r="I41" s="80">
        <f>F41</f>
        <v>0.3778</v>
      </c>
      <c r="J41" s="66">
        <f>J31</f>
        <v>2482.97</v>
      </c>
      <c r="K41" s="86">
        <f>I41*J41/$I$12</f>
        <v>0.25200090638718203</v>
      </c>
      <c r="L41" s="49">
        <f t="shared" si="2"/>
        <v>0.17713348831392428</v>
      </c>
      <c r="M41" s="246">
        <f t="shared" si="3"/>
        <v>0.018827720157079716</v>
      </c>
      <c r="P41" s="5"/>
    </row>
    <row r="42" spans="2:16" ht="9.75" customHeight="1">
      <c r="B42" s="234"/>
      <c r="C42" s="236"/>
      <c r="D42" s="236"/>
      <c r="E42" s="236"/>
      <c r="F42" s="236"/>
      <c r="G42" s="236"/>
      <c r="H42" s="236"/>
      <c r="I42" s="236"/>
      <c r="J42" s="236"/>
      <c r="K42" s="236"/>
      <c r="L42" s="235"/>
      <c r="M42" s="250"/>
      <c r="P42" s="5"/>
    </row>
    <row r="43" spans="2:14" s="107" customFormat="1" ht="15" customHeight="1">
      <c r="B43" s="253" t="s">
        <v>82</v>
      </c>
      <c r="C43" s="116"/>
      <c r="D43" s="117"/>
      <c r="E43" s="118">
        <f>E19+E29</f>
        <v>5.465970509280227</v>
      </c>
      <c r="F43" s="119"/>
      <c r="G43" s="120"/>
      <c r="H43" s="118">
        <f>H19+H29</f>
        <v>8.142942383130283</v>
      </c>
      <c r="I43" s="119"/>
      <c r="J43" s="120"/>
      <c r="K43" s="118">
        <f>K19+K29</f>
        <v>12.169209679262217</v>
      </c>
      <c r="L43" s="121">
        <f>(E43*$E$8)+(H43*$H$8)+(K43*$K$8)</f>
        <v>7.952948210434309</v>
      </c>
      <c r="M43" s="254">
        <f>L43/$L$52</f>
        <v>0.8453279205140257</v>
      </c>
      <c r="N43" s="5"/>
    </row>
    <row r="44" spans="2:16" ht="9.75" customHeight="1">
      <c r="B44" s="234"/>
      <c r="C44" s="236"/>
      <c r="D44" s="236"/>
      <c r="E44" s="236"/>
      <c r="F44" s="236"/>
      <c r="G44" s="236"/>
      <c r="H44" s="236"/>
      <c r="I44" s="236"/>
      <c r="J44" s="236"/>
      <c r="K44" s="236"/>
      <c r="L44" s="235"/>
      <c r="M44" s="250"/>
      <c r="N44" s="107"/>
      <c r="P44" s="5"/>
    </row>
    <row r="45" spans="2:14" s="107" customFormat="1" ht="15" customHeight="1">
      <c r="B45" s="251" t="s">
        <v>83</v>
      </c>
      <c r="C45" s="108"/>
      <c r="D45" s="109"/>
      <c r="E45" s="110">
        <f>E46+E47+E48+E49+E50</f>
        <v>1.1836378792226374</v>
      </c>
      <c r="F45" s="112"/>
      <c r="G45" s="113"/>
      <c r="H45" s="111">
        <f>H46+H47+H48+H49+H50</f>
        <v>1.4810008734928162</v>
      </c>
      <c r="I45" s="114"/>
      <c r="J45" s="113"/>
      <c r="K45" s="110">
        <f>K46+K47+K48+K49+K50</f>
        <v>1.8674477208821778</v>
      </c>
      <c r="L45" s="115">
        <f>L46+L47+L48+L49+L50</f>
        <v>1.4551737945720948</v>
      </c>
      <c r="M45" s="252">
        <f aca="true" t="shared" si="4" ref="M45:M50">L45/$L$52</f>
        <v>0.15467207948597436</v>
      </c>
      <c r="N45" s="5"/>
    </row>
    <row r="46" spans="2:16" ht="15" customHeight="1">
      <c r="B46" s="243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0.6224297746772202</v>
      </c>
      <c r="F46" s="55">
        <f>1/120</f>
        <v>0.008333333333333333</v>
      </c>
      <c r="G46" s="81">
        <f>'FROTA E CUSTOS'!H5</f>
        <v>695450.18</v>
      </c>
      <c r="H46" s="106">
        <f>F46*G46*0.9/F13</f>
        <v>0.8889598829490228</v>
      </c>
      <c r="I46" s="55">
        <f>1/120</f>
        <v>0.008333333333333333</v>
      </c>
      <c r="J46" s="81">
        <f>'FROTA E CUSTOS'!H6</f>
        <v>1538775.9</v>
      </c>
      <c r="K46" s="106">
        <f>I46*J46*0.9/I13</f>
        <v>1.5501556963103273</v>
      </c>
      <c r="L46" s="63">
        <f>(E46*$E$8)+(H46*$H$8)+(K46*$K$8)</f>
        <v>0.8902625405423644</v>
      </c>
      <c r="M46" s="244">
        <f t="shared" si="4"/>
        <v>0.0946270190871912</v>
      </c>
      <c r="P46" s="5"/>
    </row>
    <row r="47" spans="2:16" ht="15" customHeight="1">
      <c r="B47" s="245" t="s">
        <v>76</v>
      </c>
      <c r="C47" s="54">
        <v>0.0001</v>
      </c>
      <c r="D47" s="13">
        <f>'FROTA E CUSTOS'!F5</f>
        <v>707000</v>
      </c>
      <c r="E47" s="135">
        <f>C47*D47/$C$12</f>
        <v>0.01610336096703852</v>
      </c>
      <c r="F47" s="54">
        <v>0.0001</v>
      </c>
      <c r="G47" s="13">
        <f>D47</f>
        <v>707000</v>
      </c>
      <c r="H47" s="135">
        <f>F47*G47/$F$12</f>
        <v>0.013555851777440604</v>
      </c>
      <c r="I47" s="54">
        <v>0.0001</v>
      </c>
      <c r="J47" s="13">
        <f>G47</f>
        <v>707000</v>
      </c>
      <c r="K47" s="135">
        <f>I47*J47/$I$12</f>
        <v>0.018992760454010254</v>
      </c>
      <c r="L47" s="105">
        <f>(E47*$E$8)+(H47*$H$8)+(K47*$K$8)</f>
        <v>0.014456533260019798</v>
      </c>
      <c r="M47" s="246">
        <f t="shared" si="4"/>
        <v>0.0015366013804165117</v>
      </c>
      <c r="P47" s="5"/>
    </row>
    <row r="48" spans="2:16" ht="15" customHeight="1">
      <c r="B48" s="245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0.43238121680910896</v>
      </c>
      <c r="F48" s="53">
        <f>((10-'FROTA E CUSTOS'!D29)/10)*0.01</f>
        <v>0.00408</v>
      </c>
      <c r="G48" s="81">
        <f>G46</f>
        <v>695450.18</v>
      </c>
      <c r="H48" s="88">
        <f>F48*G48/F13</f>
        <v>0.48359417632426843</v>
      </c>
      <c r="I48" s="54">
        <f>((10-'FROTA E CUSTOS'!F29)/10)*0.01</f>
        <v>0.00040000000000000034</v>
      </c>
      <c r="J48" s="81">
        <f>J46</f>
        <v>1538775.9</v>
      </c>
      <c r="K48" s="88">
        <f>I48*J48/I12</f>
        <v>0.16534994093976835</v>
      </c>
      <c r="L48" s="105">
        <f>(E48*$E$8)+(H48*$H$8)+(K48*$K$8)</f>
        <v>0.44925898794957214</v>
      </c>
      <c r="M48" s="246">
        <f t="shared" si="4"/>
        <v>0.04775224935545108</v>
      </c>
      <c r="N48" s="107"/>
      <c r="P48" s="5"/>
    </row>
    <row r="49" spans="2:17" ht="15" customHeight="1">
      <c r="B49" s="245" t="s">
        <v>79</v>
      </c>
      <c r="C49" s="54">
        <v>0.0004</v>
      </c>
      <c r="D49" s="13">
        <f>'FROTA E CUSTOS'!F5</f>
        <v>707000</v>
      </c>
      <c r="E49" s="88">
        <f>C49*D49/$C$12</f>
        <v>0.06441344386815408</v>
      </c>
      <c r="F49" s="54">
        <v>0.0004</v>
      </c>
      <c r="G49" s="13">
        <f>D49</f>
        <v>707000</v>
      </c>
      <c r="H49" s="88">
        <f>F49*G49/$F$12</f>
        <v>0.054223407109762416</v>
      </c>
      <c r="I49" s="54">
        <v>0.0004</v>
      </c>
      <c r="J49" s="13">
        <f>G49</f>
        <v>707000</v>
      </c>
      <c r="K49" s="88">
        <f>I49*J49/$I$12</f>
        <v>0.07597104181604102</v>
      </c>
      <c r="L49" s="105">
        <f>(E49*$E$8)+(H49*$H$8)+(K49*$K$8)</f>
        <v>0.05782613304007919</v>
      </c>
      <c r="M49" s="246">
        <f t="shared" si="4"/>
        <v>0.006146405521666047</v>
      </c>
      <c r="N49" s="46"/>
      <c r="O49" s="107"/>
      <c r="P49" s="107"/>
      <c r="Q49" s="107"/>
    </row>
    <row r="50" spans="2:16" ht="15" customHeight="1">
      <c r="B50" s="245" t="s">
        <v>80</v>
      </c>
      <c r="C50" s="54">
        <v>0.0003</v>
      </c>
      <c r="D50" s="13">
        <f>'FROTA E CUSTOS'!F5</f>
        <v>707000</v>
      </c>
      <c r="E50" s="88">
        <f>C50*D50/$C$12</f>
        <v>0.048310082901115554</v>
      </c>
      <c r="F50" s="54">
        <v>0.0003</v>
      </c>
      <c r="G50" s="13">
        <f>D50</f>
        <v>707000</v>
      </c>
      <c r="H50" s="88">
        <f>F50*G50/$F$12</f>
        <v>0.04066755533232181</v>
      </c>
      <c r="I50" s="54">
        <v>0.0003</v>
      </c>
      <c r="J50" s="13">
        <f>G50</f>
        <v>707000</v>
      </c>
      <c r="K50" s="88">
        <f>I50*J50/$I$12</f>
        <v>0.05697828136203076</v>
      </c>
      <c r="L50" s="49">
        <f>(E50*$E$8)+(H50*$H$8)+(K50*$K$8)</f>
        <v>0.04336959978005939</v>
      </c>
      <c r="M50" s="246">
        <f t="shared" si="4"/>
        <v>0.004609804141249534</v>
      </c>
      <c r="N50" s="46"/>
      <c r="P50" s="5"/>
    </row>
    <row r="51" spans="2:14" ht="9.7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6"/>
      <c r="L51" s="235"/>
      <c r="M51" s="250"/>
      <c r="N51" s="46"/>
    </row>
    <row r="52" spans="2:17" s="107" customFormat="1" ht="15" customHeight="1">
      <c r="B52" s="253" t="s">
        <v>81</v>
      </c>
      <c r="C52" s="116"/>
      <c r="D52" s="117"/>
      <c r="E52" s="118">
        <f>E43+E45</f>
        <v>6.649608388502864</v>
      </c>
      <c r="F52" s="119"/>
      <c r="G52" s="120"/>
      <c r="H52" s="118">
        <f>H43+H45</f>
        <v>9.623943256623098</v>
      </c>
      <c r="I52" s="119"/>
      <c r="J52" s="120"/>
      <c r="K52" s="118">
        <f>K43+K45</f>
        <v>14.036657400144394</v>
      </c>
      <c r="L52" s="121">
        <f>(E52*$E$8)+(H52*$H$8)+(K52*$K$8)</f>
        <v>9.408122005006403</v>
      </c>
      <c r="M52" s="254">
        <f>L52/L52</f>
        <v>1</v>
      </c>
      <c r="O52" s="5"/>
      <c r="P52" s="130"/>
      <c r="Q52" s="5"/>
    </row>
    <row r="53" spans="2:14" ht="9.75" customHeight="1">
      <c r="B53" s="234"/>
      <c r="C53" s="236"/>
      <c r="D53" s="236"/>
      <c r="E53" s="236"/>
      <c r="F53" s="236"/>
      <c r="G53" s="236"/>
      <c r="H53" s="236"/>
      <c r="I53" s="236"/>
      <c r="J53" s="236"/>
      <c r="K53" s="236"/>
      <c r="L53" s="122"/>
      <c r="M53" s="255"/>
      <c r="N53" s="46"/>
    </row>
    <row r="54" spans="2:14" ht="15" customHeight="1">
      <c r="B54" s="256" t="s">
        <v>84</v>
      </c>
      <c r="C54" s="439"/>
      <c r="D54" s="440"/>
      <c r="E54" s="440"/>
      <c r="F54" s="440"/>
      <c r="G54" s="440"/>
      <c r="H54" s="440"/>
      <c r="I54" s="440"/>
      <c r="J54" s="440"/>
      <c r="K54" s="441"/>
      <c r="L54" s="123">
        <f>(L52/0.95)-L52</f>
        <v>0.4951643160529695</v>
      </c>
      <c r="M54" s="257">
        <f>L54/$L$52</f>
        <v>0.05263157894736852</v>
      </c>
      <c r="N54" s="46"/>
    </row>
    <row r="55" spans="2:14" ht="15" customHeight="1">
      <c r="B55" s="258" t="s">
        <v>9</v>
      </c>
      <c r="C55" s="124" t="s">
        <v>98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0.41263693004414037</v>
      </c>
      <c r="M55" s="259">
        <f>L55/$L$52</f>
        <v>0.04385964912280701</v>
      </c>
      <c r="N55" s="46"/>
    </row>
    <row r="56" spans="2:14" ht="9.75" customHeight="1">
      <c r="B56" s="260"/>
      <c r="C56" s="261"/>
      <c r="D56" s="262"/>
      <c r="E56" s="262"/>
      <c r="F56" s="262"/>
      <c r="G56" s="262"/>
      <c r="H56" s="262"/>
      <c r="I56" s="262"/>
      <c r="J56" s="262"/>
      <c r="K56" s="262"/>
      <c r="L56" s="263"/>
      <c r="M56" s="264"/>
      <c r="N56" s="46"/>
    </row>
    <row r="57" spans="2:17" s="107" customFormat="1" ht="15" customHeight="1">
      <c r="B57" s="238" t="s">
        <v>99</v>
      </c>
      <c r="C57" s="430"/>
      <c r="D57" s="431"/>
      <c r="E57" s="431"/>
      <c r="F57" s="431"/>
      <c r="G57" s="431"/>
      <c r="H57" s="431"/>
      <c r="I57" s="431"/>
      <c r="J57" s="431"/>
      <c r="K57" s="432"/>
      <c r="L57" s="433">
        <f>(L52+L54)/(1-D55-G55-J55)</f>
        <v>10.315923251103513</v>
      </c>
      <c r="M57" s="434"/>
      <c r="O57" s="5"/>
      <c r="P57" s="130"/>
      <c r="Q57" s="5"/>
    </row>
    <row r="58" spans="2:17" s="107" customFormat="1" ht="15" customHeight="1">
      <c r="B58" s="265" t="s">
        <v>62</v>
      </c>
      <c r="C58" s="421"/>
      <c r="D58" s="422"/>
      <c r="E58" s="422"/>
      <c r="F58" s="422"/>
      <c r="G58" s="422"/>
      <c r="H58" s="422"/>
      <c r="I58" s="422"/>
      <c r="J58" s="422"/>
      <c r="K58" s="423"/>
      <c r="L58" s="424">
        <f>L14/L8</f>
        <v>1.9541712622467484</v>
      </c>
      <c r="M58" s="425"/>
      <c r="O58" s="5"/>
      <c r="P58" s="130"/>
      <c r="Q58" s="5"/>
    </row>
    <row r="59" spans="2:14" ht="9.75" customHeight="1" thickBot="1">
      <c r="B59" s="234"/>
      <c r="C59" s="236"/>
      <c r="D59" s="236"/>
      <c r="E59" s="236"/>
      <c r="F59" s="236"/>
      <c r="G59" s="236"/>
      <c r="H59" s="236"/>
      <c r="I59" s="236"/>
      <c r="J59" s="236"/>
      <c r="K59" s="236"/>
      <c r="L59" s="235"/>
      <c r="M59" s="240"/>
      <c r="N59" s="46"/>
    </row>
    <row r="60" spans="2:14" ht="19.5" customHeight="1" thickBot="1">
      <c r="B60" s="266" t="s">
        <v>85</v>
      </c>
      <c r="C60" s="413"/>
      <c r="D60" s="413"/>
      <c r="E60" s="413"/>
      <c r="F60" s="413"/>
      <c r="G60" s="413"/>
      <c r="H60" s="413"/>
      <c r="I60" s="413"/>
      <c r="J60" s="413"/>
      <c r="K60" s="413"/>
      <c r="L60" s="477">
        <f>L57/L58</f>
        <v>5.278924856996974</v>
      </c>
      <c r="M60" s="478"/>
      <c r="N60" s="46"/>
    </row>
    <row r="61" ht="11.25">
      <c r="N61" s="132"/>
    </row>
    <row r="62" spans="9:14" ht="11.25">
      <c r="I62" s="462"/>
      <c r="J62" s="462"/>
      <c r="K62" s="462"/>
      <c r="L62" s="462"/>
      <c r="M62" s="462"/>
      <c r="N62" s="140"/>
    </row>
    <row r="63" spans="11:13" ht="11.25">
      <c r="K63" s="193"/>
      <c r="L63" s="130"/>
      <c r="M63" s="183"/>
    </row>
    <row r="64" spans="11:13" ht="11.25">
      <c r="K64" s="193"/>
      <c r="L64" s="130"/>
      <c r="M64" s="149"/>
    </row>
    <row r="65" spans="11:12" ht="11.25">
      <c r="K65" s="132"/>
      <c r="L65" s="172"/>
    </row>
  </sheetData>
  <sheetProtection/>
  <mergeCells count="55">
    <mergeCell ref="C6:E6"/>
    <mergeCell ref="I6:K6"/>
    <mergeCell ref="L6:M6"/>
    <mergeCell ref="I8:J8"/>
    <mergeCell ref="I7:K7"/>
    <mergeCell ref="C8:D8"/>
    <mergeCell ref="F8:G8"/>
    <mergeCell ref="F6:H6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B16:B17"/>
    <mergeCell ref="L16:M16"/>
    <mergeCell ref="C54:K54"/>
    <mergeCell ref="C16:E16"/>
    <mergeCell ref="F16:H16"/>
    <mergeCell ref="L11:M11"/>
    <mergeCell ref="L13:M13"/>
    <mergeCell ref="F13:H13"/>
    <mergeCell ref="I12:K12"/>
    <mergeCell ref="F12:H12"/>
    <mergeCell ref="C9:D9"/>
    <mergeCell ref="C10:D10"/>
    <mergeCell ref="C12:E12"/>
    <mergeCell ref="C57:K57"/>
    <mergeCell ref="L57:M57"/>
    <mergeCell ref="I10:J10"/>
    <mergeCell ref="F10:G10"/>
    <mergeCell ref="L9:M9"/>
    <mergeCell ref="I9:J9"/>
    <mergeCell ref="F9:G9"/>
    <mergeCell ref="C60:K60"/>
    <mergeCell ref="L14:M14"/>
    <mergeCell ref="I16:K16"/>
    <mergeCell ref="L10:M10"/>
    <mergeCell ref="L60:M60"/>
    <mergeCell ref="C58:K58"/>
    <mergeCell ref="L58:M58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2023-06-19T18:34:32Z</dcterms:modified>
  <cp:category/>
  <cp:version/>
  <cp:contentType/>
  <cp:contentStatus/>
</cp:coreProperties>
</file>