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ngenharia-07\Desktop\FISCALIZAÇÃO  CONTRATOS\COMISSÃO DE FISC E AV DO TRANSP PÚBLICO\2024\TARIFA TÉCNICA - MARÇO\"/>
    </mc:Choice>
  </mc:AlternateContent>
  <bookViews>
    <workbookView xWindow="0" yWindow="0" windowWidth="28800" windowHeight="11835" tabRatio="978" activeTab="2"/>
  </bookViews>
  <sheets>
    <sheet name="KM, PASSAGEIROS E PESSOAL" sheetId="23" r:id="rId1"/>
    <sheet name="FROTA E CUSTOS" sheetId="12" r:id="rId2"/>
    <sheet name="TÁRIFA " sheetId="16" r:id="rId3"/>
    <sheet name="REMUNERAÇÃO PROJETADA" sheetId="24" r:id="rId4"/>
  </sheets>
  <externalReferences>
    <externalReference r:id="rId5"/>
  </externalReferences>
  <definedNames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calcId="152511"/>
</workbook>
</file>

<file path=xl/calcChain.xml><?xml version="1.0" encoding="utf-8"?>
<calcChain xmlns="http://schemas.openxmlformats.org/spreadsheetml/2006/main">
  <c r="E5" i="24" l="1"/>
  <c r="L6" i="16" l="1"/>
  <c r="L7" i="16"/>
  <c r="F7" i="16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E24" i="12"/>
  <c r="E30" i="12"/>
  <c r="F24" i="12"/>
  <c r="D24" i="12"/>
  <c r="D30" i="16"/>
  <c r="K26" i="12"/>
  <c r="G27" i="12"/>
  <c r="C8" i="23"/>
  <c r="F46" i="16"/>
  <c r="M11" i="23"/>
  <c r="M8" i="23"/>
  <c r="M12" i="23" s="1"/>
  <c r="M13" i="23" s="1"/>
  <c r="D35" i="16"/>
  <c r="G35" i="16" s="1"/>
  <c r="J35" i="16" s="1"/>
  <c r="L5" i="16"/>
  <c r="C48" i="16"/>
  <c r="C24" i="12"/>
  <c r="P11" i="23"/>
  <c r="G5" i="23"/>
  <c r="H5" i="23"/>
  <c r="I5" i="23"/>
  <c r="G6" i="23"/>
  <c r="H6" i="23"/>
  <c r="I6" i="23"/>
  <c r="G7" i="23"/>
  <c r="H7" i="23"/>
  <c r="I7" i="23"/>
  <c r="L14" i="16"/>
  <c r="C46" i="16"/>
  <c r="F4" i="12"/>
  <c r="H4" i="12"/>
  <c r="F48" i="16"/>
  <c r="I48" i="16"/>
  <c r="J21" i="16"/>
  <c r="K21" i="16" s="1"/>
  <c r="J23" i="16" s="1"/>
  <c r="K23" i="16" s="1"/>
  <c r="G21" i="16"/>
  <c r="H21" i="16" s="1"/>
  <c r="D21" i="16"/>
  <c r="E21" i="16" s="1"/>
  <c r="D23" i="16" s="1"/>
  <c r="E23" i="16" s="1"/>
  <c r="E19" i="16" s="1"/>
  <c r="K27" i="12"/>
  <c r="D38" i="16"/>
  <c r="G26" i="16"/>
  <c r="J25" i="16"/>
  <c r="D24" i="16"/>
  <c r="E24" i="16"/>
  <c r="F6" i="12"/>
  <c r="H6" i="12"/>
  <c r="J46" i="16"/>
  <c r="J48" i="16"/>
  <c r="C7" i="16"/>
  <c r="I7" i="16"/>
  <c r="D22" i="16"/>
  <c r="E22" i="16"/>
  <c r="G22" i="16"/>
  <c r="J22" i="16"/>
  <c r="K22" i="16"/>
  <c r="C24" i="16"/>
  <c r="F24" i="16"/>
  <c r="I25" i="16"/>
  <c r="K25" i="16"/>
  <c r="C26" i="16"/>
  <c r="D26" i="16"/>
  <c r="F26" i="16"/>
  <c r="H26" i="16"/>
  <c r="I27" i="16"/>
  <c r="K27" i="16"/>
  <c r="J27" i="16"/>
  <c r="D31" i="16"/>
  <c r="G31" i="16"/>
  <c r="G41" i="16"/>
  <c r="J31" i="16"/>
  <c r="G32" i="16"/>
  <c r="J32" i="16"/>
  <c r="C33" i="16"/>
  <c r="F33" i="16"/>
  <c r="G33" i="16"/>
  <c r="D33" i="16"/>
  <c r="I33" i="16"/>
  <c r="J33" i="16"/>
  <c r="D37" i="16"/>
  <c r="G37" i="16"/>
  <c r="J37" i="16"/>
  <c r="F40" i="16"/>
  <c r="I40" i="16"/>
  <c r="F41" i="16"/>
  <c r="I41" i="16"/>
  <c r="I46" i="16"/>
  <c r="G4" i="12"/>
  <c r="E35" i="12"/>
  <c r="C40" i="12"/>
  <c r="K10" i="16"/>
  <c r="E36" i="12"/>
  <c r="C41" i="12"/>
  <c r="H10" i="16"/>
  <c r="E37" i="12"/>
  <c r="D42" i="12"/>
  <c r="E9" i="16"/>
  <c r="E20" i="16"/>
  <c r="P8" i="23"/>
  <c r="M9" i="23"/>
  <c r="P9" i="23"/>
  <c r="M10" i="23"/>
  <c r="P10" i="23"/>
  <c r="G6" i="12"/>
  <c r="G24" i="16"/>
  <c r="H24" i="16"/>
  <c r="G5" i="12"/>
  <c r="F5" i="12"/>
  <c r="D50" i="16"/>
  <c r="D40" i="16"/>
  <c r="G40" i="16"/>
  <c r="D40" i="12"/>
  <c r="K9" i="16"/>
  <c r="K20" i="16"/>
  <c r="C42" i="12"/>
  <c r="E10" i="16"/>
  <c r="D41" i="12"/>
  <c r="H9" i="16"/>
  <c r="H20" i="16"/>
  <c r="C29" i="12"/>
  <c r="E26" i="16"/>
  <c r="E42" i="12"/>
  <c r="H22" i="16"/>
  <c r="E40" i="12"/>
  <c r="E41" i="12"/>
  <c r="J30" i="16"/>
  <c r="J41" i="16"/>
  <c r="D46" i="16"/>
  <c r="J40" i="16"/>
  <c r="G50" i="16"/>
  <c r="H5" i="12"/>
  <c r="D49" i="16"/>
  <c r="D47" i="16"/>
  <c r="D48" i="16"/>
  <c r="G47" i="16"/>
  <c r="G49" i="16"/>
  <c r="G30" i="16"/>
  <c r="G46" i="16"/>
  <c r="J50" i="16"/>
  <c r="J49" i="16"/>
  <c r="J47" i="16"/>
  <c r="G48" i="16"/>
  <c r="G38" i="16"/>
  <c r="J38" i="16"/>
  <c r="G24" i="12"/>
  <c r="D41" i="16"/>
  <c r="G8" i="23" l="1"/>
  <c r="G9" i="23" s="1"/>
  <c r="C8" i="16" s="1"/>
  <c r="H8" i="23"/>
  <c r="H9" i="23" s="1"/>
  <c r="F8" i="16" s="1"/>
  <c r="F11" i="16" s="1"/>
  <c r="H33" i="16" s="1"/>
  <c r="P12" i="23"/>
  <c r="P13" i="23" s="1"/>
  <c r="P14" i="23" s="1"/>
  <c r="P15" i="23" s="1"/>
  <c r="G23" i="16"/>
  <c r="H23" i="16" s="1"/>
  <c r="H19" i="16" s="1"/>
  <c r="K19" i="16"/>
  <c r="I8" i="23"/>
  <c r="I9" i="23" s="1"/>
  <c r="I8" i="16" s="1"/>
  <c r="I13" i="16" s="1"/>
  <c r="M14" i="23"/>
  <c r="F9" i="16" l="1"/>
  <c r="F12" i="16"/>
  <c r="H40" i="16" s="1"/>
  <c r="F10" i="16"/>
  <c r="F13" i="16"/>
  <c r="H30" i="16"/>
  <c r="I11" i="16"/>
  <c r="K33" i="16" s="1"/>
  <c r="I10" i="16"/>
  <c r="I9" i="16"/>
  <c r="I12" i="16"/>
  <c r="K49" i="16" s="1"/>
  <c r="I10" i="23"/>
  <c r="P16" i="23"/>
  <c r="P17" i="23" s="1"/>
  <c r="H48" i="16"/>
  <c r="H46" i="16"/>
  <c r="H41" i="16"/>
  <c r="M15" i="23"/>
  <c r="M16" i="23" s="1"/>
  <c r="C11" i="16"/>
  <c r="C13" i="16"/>
  <c r="C9" i="16"/>
  <c r="C10" i="16"/>
  <c r="L8" i="16"/>
  <c r="E8" i="16" s="1"/>
  <c r="C12" i="16"/>
  <c r="K46" i="16"/>
  <c r="K48" i="16"/>
  <c r="H47" i="16" l="1"/>
  <c r="H38" i="16"/>
  <c r="H50" i="16"/>
  <c r="H49" i="16"/>
  <c r="K40" i="16"/>
  <c r="K38" i="16"/>
  <c r="K47" i="16"/>
  <c r="K45" i="16" s="1"/>
  <c r="P18" i="23"/>
  <c r="P20" i="23" s="1"/>
  <c r="F32" i="16" s="1"/>
  <c r="I32" i="16" s="1"/>
  <c r="K32" i="16" s="1"/>
  <c r="K50" i="16"/>
  <c r="L9" i="16"/>
  <c r="K30" i="16"/>
  <c r="K41" i="16"/>
  <c r="M17" i="23"/>
  <c r="M18" i="23" s="1"/>
  <c r="M20" i="23" s="1"/>
  <c r="C31" i="16" s="1"/>
  <c r="E38" i="16"/>
  <c r="E41" i="16"/>
  <c r="E49" i="16"/>
  <c r="E47" i="16"/>
  <c r="E40" i="16"/>
  <c r="E50" i="16"/>
  <c r="C35" i="16"/>
  <c r="L58" i="16"/>
  <c r="L13" i="16"/>
  <c r="L11" i="16"/>
  <c r="F35" i="16"/>
  <c r="H35" i="16" s="1"/>
  <c r="F37" i="16"/>
  <c r="H37" i="16" s="1"/>
  <c r="H8" i="16"/>
  <c r="I35" i="16"/>
  <c r="K35" i="16" s="1"/>
  <c r="K8" i="16"/>
  <c r="I37" i="16"/>
  <c r="K37" i="16" s="1"/>
  <c r="L10" i="16"/>
  <c r="E48" i="16"/>
  <c r="E46" i="16"/>
  <c r="C37" i="16"/>
  <c r="E37" i="16" s="1"/>
  <c r="E33" i="16"/>
  <c r="E30" i="16"/>
  <c r="E32" i="16"/>
  <c r="H45" i="16"/>
  <c r="H32" i="16" l="1"/>
  <c r="L32" i="16" s="1"/>
  <c r="B15" i="24" s="1"/>
  <c r="L22" i="16"/>
  <c r="B4" i="24" s="1"/>
  <c r="L27" i="16"/>
  <c r="B9" i="24" s="1"/>
  <c r="L50" i="16"/>
  <c r="B34" i="24" s="1"/>
  <c r="L23" i="16"/>
  <c r="B5" i="24" s="1"/>
  <c r="L25" i="16"/>
  <c r="B7" i="24" s="1"/>
  <c r="L40" i="16"/>
  <c r="B23" i="24" s="1"/>
  <c r="L47" i="16"/>
  <c r="B31" i="24" s="1"/>
  <c r="L49" i="16"/>
  <c r="B33" i="24" s="1"/>
  <c r="L20" i="16"/>
  <c r="L48" i="16"/>
  <c r="B32" i="24" s="1"/>
  <c r="L26" i="16"/>
  <c r="B8" i="24" s="1"/>
  <c r="L30" i="16"/>
  <c r="L41" i="16"/>
  <c r="L21" i="16"/>
  <c r="E45" i="16"/>
  <c r="L46" i="16"/>
  <c r="L33" i="16"/>
  <c r="E35" i="16"/>
  <c r="L35" i="16" s="1"/>
  <c r="C36" i="16"/>
  <c r="L38" i="16"/>
  <c r="L19" i="16"/>
  <c r="E36" i="16"/>
  <c r="E31" i="16"/>
  <c r="F31" i="16"/>
  <c r="L24" i="16"/>
  <c r="L37" i="16"/>
  <c r="B20" i="24" l="1"/>
  <c r="B3" i="24"/>
  <c r="B6" i="24"/>
  <c r="H36" i="16"/>
  <c r="H31" i="16"/>
  <c r="I31" i="16"/>
  <c r="B16" i="24"/>
  <c r="B13" i="24"/>
  <c r="D39" i="16"/>
  <c r="E39" i="16" s="1"/>
  <c r="D34" i="16"/>
  <c r="E34" i="16" s="1"/>
  <c r="B18" i="24"/>
  <c r="B24" i="24"/>
  <c r="B21" i="24"/>
  <c r="L45" i="16"/>
  <c r="B30" i="24"/>
  <c r="E29" i="16" l="1"/>
  <c r="K31" i="16"/>
  <c r="K36" i="16"/>
  <c r="L36" i="16" s="1"/>
  <c r="B35" i="24"/>
  <c r="G39" i="16"/>
  <c r="H39" i="16" s="1"/>
  <c r="G34" i="16"/>
  <c r="H34" i="16" s="1"/>
  <c r="B10" i="24"/>
  <c r="H29" i="16" l="1"/>
  <c r="H43" i="16" s="1"/>
  <c r="H52" i="16" s="1"/>
  <c r="B19" i="24"/>
  <c r="J34" i="16"/>
  <c r="K34" i="16" s="1"/>
  <c r="L34" i="16" s="1"/>
  <c r="J39" i="16"/>
  <c r="K39" i="16" s="1"/>
  <c r="L39" i="16" s="1"/>
  <c r="L31" i="16"/>
  <c r="E43" i="16"/>
  <c r="K29" i="16" l="1"/>
  <c r="E52" i="16"/>
  <c r="B17" i="24"/>
  <c r="B14" i="24"/>
  <c r="B22" i="24"/>
  <c r="K43" i="16" l="1"/>
  <c r="L29" i="16"/>
  <c r="B25" i="24"/>
  <c r="B27" i="24" s="1"/>
  <c r="B37" i="24" s="1"/>
  <c r="K52" i="16" l="1"/>
  <c r="L52" i="16" s="1"/>
  <c r="L43" i="16"/>
  <c r="M43" i="16" l="1"/>
  <c r="M31" i="16"/>
  <c r="M52" i="16"/>
  <c r="M49" i="16"/>
  <c r="M33" i="16"/>
  <c r="M21" i="16"/>
  <c r="L54" i="16"/>
  <c r="L57" i="16" s="1"/>
  <c r="M25" i="16"/>
  <c r="M19" i="16"/>
  <c r="M45" i="16"/>
  <c r="M50" i="16"/>
  <c r="M41" i="16"/>
  <c r="M36" i="16"/>
  <c r="M48" i="16"/>
  <c r="M35" i="16"/>
  <c r="M47" i="16"/>
  <c r="M32" i="16"/>
  <c r="M23" i="16"/>
  <c r="M46" i="16"/>
  <c r="M22" i="16"/>
  <c r="M39" i="16"/>
  <c r="M37" i="16"/>
  <c r="M29" i="16"/>
  <c r="M27" i="16"/>
  <c r="M40" i="16"/>
  <c r="M34" i="16"/>
  <c r="M20" i="16"/>
  <c r="M30" i="16"/>
  <c r="M24" i="16"/>
  <c r="M26" i="16"/>
  <c r="M38" i="16"/>
  <c r="L60" i="16" l="1"/>
  <c r="L55" i="16"/>
  <c r="M54" i="16"/>
  <c r="B39" i="24"/>
  <c r="B40" i="24" l="1"/>
  <c r="B42" i="24" s="1"/>
  <c r="C40" i="24" s="1"/>
  <c r="D40" i="24" s="1"/>
  <c r="E40" i="24" s="1"/>
  <c r="F40" i="24" s="1"/>
  <c r="M55" i="16"/>
  <c r="C14" i="24" l="1"/>
  <c r="D14" i="24" s="1"/>
  <c r="E14" i="24" s="1"/>
  <c r="F14" i="24" s="1"/>
  <c r="C13" i="24"/>
  <c r="D13" i="24" s="1"/>
  <c r="C31" i="24"/>
  <c r="D31" i="24" s="1"/>
  <c r="E31" i="24" s="1"/>
  <c r="F31" i="24" s="1"/>
  <c r="C22" i="24"/>
  <c r="D22" i="24" s="1"/>
  <c r="E22" i="24" s="1"/>
  <c r="F22" i="24" s="1"/>
  <c r="C6" i="24"/>
  <c r="D6" i="24" s="1"/>
  <c r="E6" i="24" s="1"/>
  <c r="F6" i="24" s="1"/>
  <c r="C7" i="24"/>
  <c r="D7" i="24" s="1"/>
  <c r="E7" i="24" s="1"/>
  <c r="F7" i="24" s="1"/>
  <c r="C17" i="24"/>
  <c r="D17" i="24" s="1"/>
  <c r="E17" i="24" s="1"/>
  <c r="F17" i="24" s="1"/>
  <c r="C15" i="24"/>
  <c r="D15" i="24" s="1"/>
  <c r="E15" i="24" s="1"/>
  <c r="F15" i="24" s="1"/>
  <c r="C20" i="24"/>
  <c r="D20" i="24" s="1"/>
  <c r="E20" i="24" s="1"/>
  <c r="F20" i="24" s="1"/>
  <c r="C8" i="24"/>
  <c r="D8" i="24" s="1"/>
  <c r="E8" i="24" s="1"/>
  <c r="F8" i="24" s="1"/>
  <c r="C30" i="24"/>
  <c r="D30" i="24" s="1"/>
  <c r="C19" i="24"/>
  <c r="D19" i="24" s="1"/>
  <c r="E19" i="24" s="1"/>
  <c r="F19" i="24" s="1"/>
  <c r="C23" i="24"/>
  <c r="D23" i="24" s="1"/>
  <c r="E23" i="24" s="1"/>
  <c r="F23" i="24" s="1"/>
  <c r="C3" i="24"/>
  <c r="D3" i="24" s="1"/>
  <c r="C21" i="24"/>
  <c r="D21" i="24" s="1"/>
  <c r="E21" i="24" s="1"/>
  <c r="F21" i="24" s="1"/>
  <c r="C32" i="24"/>
  <c r="D32" i="24" s="1"/>
  <c r="E32" i="24" s="1"/>
  <c r="F32" i="24" s="1"/>
  <c r="C16" i="24"/>
  <c r="D16" i="24" s="1"/>
  <c r="E16" i="24" s="1"/>
  <c r="F16" i="24" s="1"/>
  <c r="C9" i="24"/>
  <c r="D9" i="24" s="1"/>
  <c r="E9" i="24" s="1"/>
  <c r="F9" i="24" s="1"/>
  <c r="C4" i="24"/>
  <c r="D4" i="24" s="1"/>
  <c r="E4" i="24" s="1"/>
  <c r="F4" i="24" s="1"/>
  <c r="C18" i="24"/>
  <c r="D18" i="24" s="1"/>
  <c r="E18" i="24" s="1"/>
  <c r="F18" i="24" s="1"/>
  <c r="C34" i="24"/>
  <c r="D34" i="24" s="1"/>
  <c r="E34" i="24" s="1"/>
  <c r="F34" i="24" s="1"/>
  <c r="C39" i="24"/>
  <c r="D39" i="24" s="1"/>
  <c r="E39" i="24" s="1"/>
  <c r="F39" i="24" s="1"/>
  <c r="C24" i="24"/>
  <c r="D24" i="24" s="1"/>
  <c r="E24" i="24" s="1"/>
  <c r="F24" i="24" s="1"/>
  <c r="C5" i="24"/>
  <c r="D5" i="24" s="1"/>
  <c r="F5" i="24" s="1"/>
  <c r="C33" i="24"/>
  <c r="D33" i="24" s="1"/>
  <c r="E33" i="24" s="1"/>
  <c r="F33" i="24" s="1"/>
  <c r="C35" i="24" l="1"/>
  <c r="C25" i="24"/>
  <c r="C10" i="24"/>
  <c r="E3" i="24"/>
  <c r="D10" i="24"/>
  <c r="D35" i="24"/>
  <c r="E30" i="24"/>
  <c r="E13" i="24"/>
  <c r="D25" i="24"/>
  <c r="D27" i="24" l="1"/>
  <c r="D37" i="24" s="1"/>
  <c r="C27" i="24"/>
  <c r="C37" i="24" s="1"/>
  <c r="C42" i="24" s="1"/>
  <c r="D42" i="24" s="1"/>
  <c r="E42" i="24" s="1"/>
  <c r="F30" i="24"/>
  <c r="F35" i="24" s="1"/>
  <c r="E35" i="24"/>
  <c r="F13" i="24"/>
  <c r="F25" i="24" s="1"/>
  <c r="E25" i="24"/>
  <c r="E10" i="24"/>
  <c r="F3" i="24"/>
  <c r="F10" i="24" s="1"/>
  <c r="E27" i="24" l="1"/>
  <c r="E37" i="24" s="1"/>
  <c r="F27" i="24"/>
  <c r="F37" i="24" s="1"/>
  <c r="F42" i="24" s="1"/>
</calcChain>
</file>

<file path=xl/comments1.xml><?xml version="1.0" encoding="utf-8"?>
<comments xmlns="http://schemas.openxmlformats.org/spreadsheetml/2006/main">
  <authors>
    <author>Joï¿½o Ney Marï¿½a</author>
  </authors>
  <commentList>
    <comment ref="L13" authorId="0" shapeId="0">
      <text>
        <r>
          <rPr>
            <sz val="9"/>
            <color indexed="81"/>
            <rFont val="Calibri"/>
            <family val="2"/>
          </rPr>
          <t>1/11</t>
        </r>
      </text>
    </comment>
    <comment ref="O13" authorId="0" shapeId="0">
      <text>
        <r>
          <rPr>
            <sz val="9"/>
            <color indexed="81"/>
            <rFont val="Calibri"/>
            <family val="2"/>
          </rPr>
          <t>1/11</t>
        </r>
      </text>
    </comment>
    <comment ref="L15" authorId="0" shapeId="0">
      <text>
        <r>
          <rPr>
            <sz val="9"/>
            <color indexed="81"/>
            <rFont val="Calibri"/>
            <family val="2"/>
          </rPr>
          <t>10% da tripulação estimada</t>
        </r>
      </text>
    </comment>
    <comment ref="O15" authorId="0" shapeId="0">
      <text>
        <r>
          <rPr>
            <sz val="9"/>
            <color indexed="81"/>
            <rFont val="Calibri"/>
            <family val="2"/>
          </rPr>
          <t>10% da tripulação estimada</t>
        </r>
      </text>
    </comment>
    <comment ref="L17" authorId="0" shapeId="0">
      <text>
        <r>
          <rPr>
            <sz val="9"/>
            <color indexed="81"/>
            <rFont val="Calibri"/>
            <family val="2"/>
          </rPr>
          <t>5% da Tripulação Total</t>
        </r>
      </text>
    </comment>
    <comment ref="O17" authorId="0" shapeId="0">
      <text>
        <r>
          <rPr>
            <sz val="9"/>
            <color indexed="81"/>
            <rFont val="Calibri"/>
            <family val="2"/>
          </rPr>
          <t>5% da Tripulação Total</t>
        </r>
      </text>
    </comment>
  </commentList>
</comments>
</file>

<file path=xl/comments2.xml><?xml version="1.0" encoding="utf-8"?>
<comments xmlns="http://schemas.openxmlformats.org/spreadsheetml/2006/main">
  <authors>
    <author>IGLENE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Demanda média equivalente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0,3368 litros / km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0,3982 litros / km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0,7938 litros / km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0,3448 litros / km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0,3968 litros / km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0,7463 litros / km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0,0019 litros / km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0,0068 litros / km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0,0276 litros / km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6 pneus / vida util (105.000 km)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Preço do pneu:
PNEU 275/80 (Midi e Conv)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6 pneus / vida util (105.000 km)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Preço do pneu:
PNEU 275/80 (Midi e Conv)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10 pneus / vida util (105.000 km)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Preço do pneu:
PNEU 295/80 (Articulado)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2,5 recapagens x 6 pneus / vida util (105.000 km)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Preço da recapagem do pneu:
PNEU 275/80 (Midi e Conv)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2,5 recapagens x 6 pneus / vida util (105.000 km)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Preço da recapagem do pneu:
PNEU 275/80 (Midi e Conv)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2,5 recapagens x 10 pneus / vida util (105.000 km)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Preço da recapagem do pneu:
PNEU 295/80 (Articulado)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Fator utilização cobrador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Salário de cobrador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Fator utilização cobrador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Salário de cobrador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0,3778 do salário de motorista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0,3778 do salário de motorista pleno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0,3778 do salário de motorista pleno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margem operador 5%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número de passageiros / número de km</t>
        </r>
      </text>
    </comment>
  </commentList>
</comments>
</file>

<file path=xl/sharedStrings.xml><?xml version="1.0" encoding="utf-8"?>
<sst xmlns="http://schemas.openxmlformats.org/spreadsheetml/2006/main" count="256" uniqueCount="156">
  <si>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</si>
  <si>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</si>
  <si>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</si>
  <si>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</si>
  <si>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</si>
  <si>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</si>
  <si>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</si>
  <si>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</si>
  <si>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</si>
  <si>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</si>
  <si>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</si>
  <si>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</si>
  <si>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</si>
  <si>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</si>
  <si>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</si>
  <si>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</si>
  <si>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</si>
  <si>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</si>
  <si>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</si>
  <si>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</si>
  <si>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</si>
  <si>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</si>
  <si>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</si>
  <si>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</si>
  <si>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</si>
  <si>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</si>
  <si>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</si>
  <si>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</si>
  <si>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</si>
  <si>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</si>
  <si>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</si>
  <si>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</si>
  <si>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</si>
  <si>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</si>
  <si>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</si>
  <si>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</si>
  <si>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</si>
  <si>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</si>
  <si>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</si>
  <si>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</si>
  <si>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</si>
  <si>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</si>
  <si>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</si>
  <si>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</si>
  <si>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</si>
  <si>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</si>
  <si>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</si>
  <si>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</si>
  <si>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</si>
  <si>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</si>
  <si>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</si>
  <si>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</si>
  <si>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</si>
  <si>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</si>
  <si>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</si>
  <si>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</si>
  <si>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</si>
  <si>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</si>
  <si>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</si>
  <si>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</si>
  <si>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</si>
  <si>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</si>
  <si>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</si>
  <si>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</si>
  <si>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</si>
  <si>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</si>
  <si>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</si>
  <si>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</si>
  <si>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</si>
  <si>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</si>
  <si>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</si>
  <si>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</si>
  <si>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</si>
  <si>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</si>
  <si>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</si>
  <si>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</si>
  <si>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</si>
  <si>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</si>
  <si>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</si>
  <si>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</si>
  <si>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</si>
  <si>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</si>
  <si>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</si>
  <si>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</si>
  <si>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</si>
  <si>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</si>
  <si>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</si>
  <si>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</si>
  <si>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</si>
  <si>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</si>
  <si>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</si>
  <si>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</si>
  <si>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</si>
  <si>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</si>
  <si>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</si>
  <si>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</si>
  <si>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</si>
  <si>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</si>
  <si>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</si>
  <si>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</si>
  <si>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</si>
  <si>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</si>
  <si>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</si>
  <si>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</si>
  <si>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</si>
  <si>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</si>
  <si>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</si>
  <si>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</si>
  <si>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</si>
  <si>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</si>
  <si>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</si>
  <si>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</si>
  <si>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</si>
  <si>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</si>
  <si>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</si>
  <si>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</si>
  <si>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</si>
  <si>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</si>
  <si>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</si>
  <si>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</si>
  <si>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</si>
  <si>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</si>
  <si>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</si>
  <si>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</si>
  <si>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</si>
  <si>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</si>
  <si>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CARROCERIA</t>
  </si>
  <si>
    <t>,</t>
  </si>
  <si>
    <t>Total de funcionarios</t>
  </si>
  <si>
    <t>*veiculos não considerados</t>
  </si>
  <si>
    <t>PMM FROTA TOTAL (até 10 anos)</t>
  </si>
  <si>
    <t>FROTA TOTAL (até 10 anos)</t>
  </si>
  <si>
    <t>PMM TOTAL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</si>
  <si>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</si>
  <si>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</si>
  <si>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</si>
  <si>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</si>
  <si>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</si>
  <si>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</si>
  <si>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</si>
  <si>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</si>
  <si>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</si>
  <si>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</si>
  <si>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</si>
  <si>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</si>
  <si>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</si>
  <si>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</si>
  <si>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</si>
  <si>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</si>
  <si>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SALÁRIOS DATA BASE 2024</t>
  </si>
  <si>
    <t>VALE ALIMENTAÇÃO DATA BASE/2024</t>
  </si>
  <si>
    <t>DISTRIBUIÇÃO DE FROTA</t>
  </si>
  <si>
    <t>Quilometragem Diária Considerada -  versao 107.8</t>
  </si>
  <si>
    <t>FATORES DE UTILIZAÇÃO DE MOTORISTAS E COBRADORES 2024 - versao 107.8</t>
  </si>
  <si>
    <t>fevereiro - 2024</t>
  </si>
  <si>
    <t>SMIP -  PLANILHA DE  CUSTOS  DO SISTEMA DE TRANSPORTE PÚBLICO DE PONTA GROSSA  - Mensal/2024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</si>
</sst>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#,##0.0000_);\(#,##0.0000\)"/>
    <numFmt numFmtId="167" formatCode="_(* #,##0_);_(* \(#,##0\);_(* &quot;-&quot;??_);_(@_)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h]:mm:ss;@"/>
    <numFmt numFmtId="172" formatCode="#,##0.00000_);\(#,##0.00000\)"/>
    <numFmt numFmtId="173" formatCode="_(* #,##0.0000000_);_(* \(#,##0.0000000\);_(* &quot;-&quot;??_);_(@_)"/>
    <numFmt numFmtId="174" formatCode="#,##0.0000;\-#,##0.0000"/>
    <numFmt numFmtId="175" formatCode="#,##0.0000"/>
    <numFmt numFmtId="176" formatCode="_-[$R$-416]\ * #,##0.00_-;\-[$R$-416]\ * #,##0.00_-;_-[$R$-416]\ * &quot;-&quot;??_-;_-@_-"/>
    <numFmt numFmtId="177" formatCode="0.0000%"/>
    <numFmt numFmtId="178" formatCode="[$-416]mmm\-yy;@"/>
    <numFmt numFmtId="179" formatCode="#,##0.000;\-#,##0.000"/>
    <numFmt numFmtId="180" formatCode="#,##0.0000_ ;\-#,##0.0000\ "/>
    <numFmt numFmtId="181" formatCode="_-* #,##0_-;\-* #,##0_-;_-* &quot;-&quot;??_-;_-@_-"/>
    <numFmt numFmtId="182" formatCode="#,##0.00_ ;\-#,##0.00\ "/>
    <numFmt numFmtId="183" formatCode="[$-416]d\-mmm;@"/>
    <numFmt numFmtId="184" formatCode="_(* #,##0.0_);_(* \(#,##0.0\);_(* &quot;-&quot;??_);_(@_)"/>
    <numFmt numFmtId="185" formatCode="#,##0.0"/>
    <numFmt numFmtId="186" formatCode="_(* #,##0.000000_);_(* \(#,##0.000000\);_(* &quot;-&quot;??_);_(@_)"/>
    <numFmt numFmtId="187" formatCode="_-[$R$-416]\ * #,##0.0000_-;\-[$R$-416]\ * #,##0.0000_-;_-[$R$-416]\ * &quot;-&quot;??_-;_-@_-"/>
    <numFmt numFmtId="188" formatCode="#,##0.00_);\(#,##0.00\)"/>
  </numFmts>
  <fonts count="67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color indexed="81"/>
      <name val="Calibri"/>
      <family val="2"/>
    </font>
    <font>
      <b/>
      <sz val="9"/>
      <color indexed="81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ourier"/>
      <family val="3"/>
    </font>
    <font>
      <b/>
      <sz val="8"/>
      <name val="Calibri"/>
      <family val="2"/>
      <scheme val="minor"/>
    </font>
    <font>
      <sz val="9"/>
      <color rgb="FFFF0000"/>
      <name val="Calibri"/>
      <family val="2"/>
    </font>
    <font>
      <sz val="10"/>
      <color rgb="FFFF0000"/>
      <name val="Courie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88">
    <xf numFmtId="37" fontId="0" fillId="0" borderId="0"/>
    <xf numFmtId="0" fontId="12" fillId="2" borderId="0" applyNumberFormat="0" applyBorder="0" applyAlignment="0" applyProtection="0"/>
    <xf numFmtId="0" fontId="44" fillId="23" borderId="0" applyNumberFormat="0" applyBorder="0" applyAlignment="0" applyProtection="0"/>
    <xf numFmtId="0" fontId="12" fillId="3" borderId="0" applyNumberFormat="0" applyBorder="0" applyAlignment="0" applyProtection="0"/>
    <xf numFmtId="0" fontId="44" fillId="24" borderId="0" applyNumberFormat="0" applyBorder="0" applyAlignment="0" applyProtection="0"/>
    <xf numFmtId="0" fontId="12" fillId="4" borderId="0" applyNumberFormat="0" applyBorder="0" applyAlignment="0" applyProtection="0"/>
    <xf numFmtId="0" fontId="44" fillId="25" borderId="0" applyNumberFormat="0" applyBorder="0" applyAlignment="0" applyProtection="0"/>
    <xf numFmtId="0" fontId="12" fillId="5" borderId="0" applyNumberFormat="0" applyBorder="0" applyAlignment="0" applyProtection="0"/>
    <xf numFmtId="0" fontId="44" fillId="26" borderId="0" applyNumberFormat="0" applyBorder="0" applyAlignment="0" applyProtection="0"/>
    <xf numFmtId="0" fontId="12" fillId="6" borderId="0" applyNumberFormat="0" applyBorder="0" applyAlignment="0" applyProtection="0"/>
    <xf numFmtId="0" fontId="44" fillId="27" borderId="0" applyNumberFormat="0" applyBorder="0" applyAlignment="0" applyProtection="0"/>
    <xf numFmtId="0" fontId="12" fillId="4" borderId="0" applyNumberFormat="0" applyBorder="0" applyAlignment="0" applyProtection="0"/>
    <xf numFmtId="0" fontId="44" fillId="28" borderId="0" applyNumberFormat="0" applyBorder="0" applyAlignment="0" applyProtection="0"/>
    <xf numFmtId="0" fontId="12" fillId="6" borderId="0" applyNumberFormat="0" applyBorder="0" applyAlignment="0" applyProtection="0"/>
    <xf numFmtId="0" fontId="44" fillId="29" borderId="0" applyNumberFormat="0" applyBorder="0" applyAlignment="0" applyProtection="0"/>
    <xf numFmtId="0" fontId="12" fillId="3" borderId="0" applyNumberFormat="0" applyBorder="0" applyAlignment="0" applyProtection="0"/>
    <xf numFmtId="0" fontId="44" fillId="30" borderId="0" applyNumberFormat="0" applyBorder="0" applyAlignment="0" applyProtection="0"/>
    <xf numFmtId="0" fontId="12" fillId="7" borderId="0" applyNumberFormat="0" applyBorder="0" applyAlignment="0" applyProtection="0"/>
    <xf numFmtId="0" fontId="44" fillId="31" borderId="0" applyNumberFormat="0" applyBorder="0" applyAlignment="0" applyProtection="0"/>
    <xf numFmtId="0" fontId="12" fillId="8" borderId="0" applyNumberFormat="0" applyBorder="0" applyAlignment="0" applyProtection="0"/>
    <xf numFmtId="0" fontId="44" fillId="32" borderId="0" applyNumberFormat="0" applyBorder="0" applyAlignment="0" applyProtection="0"/>
    <xf numFmtId="0" fontId="12" fillId="6" borderId="0" applyNumberFormat="0" applyBorder="0" applyAlignment="0" applyProtection="0"/>
    <xf numFmtId="0" fontId="44" fillId="33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13" fillId="6" borderId="0" applyNumberFormat="0" applyBorder="0" applyAlignment="0" applyProtection="0"/>
    <xf numFmtId="0" fontId="45" fillId="35" borderId="0" applyNumberFormat="0" applyBorder="0" applyAlignment="0" applyProtection="0"/>
    <xf numFmtId="0" fontId="13" fillId="9" borderId="0" applyNumberFormat="0" applyBorder="0" applyAlignment="0" applyProtection="0"/>
    <xf numFmtId="0" fontId="45" fillId="36" borderId="0" applyNumberFormat="0" applyBorder="0" applyAlignment="0" applyProtection="0"/>
    <xf numFmtId="0" fontId="13" fillId="10" borderId="0" applyNumberFormat="0" applyBorder="0" applyAlignment="0" applyProtection="0"/>
    <xf numFmtId="0" fontId="45" fillId="37" borderId="0" applyNumberFormat="0" applyBorder="0" applyAlignment="0" applyProtection="0"/>
    <xf numFmtId="0" fontId="13" fillId="8" borderId="0" applyNumberFormat="0" applyBorder="0" applyAlignment="0" applyProtection="0"/>
    <xf numFmtId="0" fontId="45" fillId="38" borderId="0" applyNumberFormat="0" applyBorder="0" applyAlignment="0" applyProtection="0"/>
    <xf numFmtId="0" fontId="13" fillId="6" borderId="0" applyNumberFormat="0" applyBorder="0" applyAlignment="0" applyProtection="0"/>
    <xf numFmtId="0" fontId="45" fillId="39" borderId="0" applyNumberFormat="0" applyBorder="0" applyAlignment="0" applyProtection="0"/>
    <xf numFmtId="0" fontId="13" fillId="3" borderId="0" applyNumberFormat="0" applyBorder="0" applyAlignment="0" applyProtection="0"/>
    <xf numFmtId="0" fontId="45" fillId="40" borderId="0" applyNumberFormat="0" applyBorder="0" applyAlignment="0" applyProtection="0"/>
    <xf numFmtId="0" fontId="14" fillId="6" borderId="0" applyNumberFormat="0" applyBorder="0" applyAlignment="0" applyProtection="0"/>
    <xf numFmtId="0" fontId="46" fillId="41" borderId="0" applyNumberFormat="0" applyBorder="0" applyAlignment="0" applyProtection="0"/>
    <xf numFmtId="0" fontId="15" fillId="11" borderId="1" applyNumberFormat="0" applyAlignment="0" applyProtection="0"/>
    <xf numFmtId="0" fontId="47" fillId="42" borderId="142" applyNumberFormat="0" applyAlignment="0" applyProtection="0"/>
    <xf numFmtId="0" fontId="16" fillId="12" borderId="2" applyNumberFormat="0" applyAlignment="0" applyProtection="0"/>
    <xf numFmtId="0" fontId="48" fillId="43" borderId="143" applyNumberFormat="0" applyAlignment="0" applyProtection="0"/>
    <xf numFmtId="0" fontId="17" fillId="0" borderId="3" applyNumberFormat="0" applyFill="0" applyAlignment="0" applyProtection="0"/>
    <xf numFmtId="0" fontId="49" fillId="0" borderId="144" applyNumberFormat="0" applyFill="0" applyAlignment="0" applyProtection="0"/>
    <xf numFmtId="0" fontId="13" fillId="13" borderId="0" applyNumberFormat="0" applyBorder="0" applyAlignment="0" applyProtection="0"/>
    <xf numFmtId="0" fontId="45" fillId="44" borderId="0" applyNumberFormat="0" applyBorder="0" applyAlignment="0" applyProtection="0"/>
    <xf numFmtId="0" fontId="13" fillId="9" borderId="0" applyNumberFormat="0" applyBorder="0" applyAlignment="0" applyProtection="0"/>
    <xf numFmtId="0" fontId="45" fillId="45" borderId="0" applyNumberFormat="0" applyBorder="0" applyAlignment="0" applyProtection="0"/>
    <xf numFmtId="0" fontId="13" fillId="10" borderId="0" applyNumberFormat="0" applyBorder="0" applyAlignment="0" applyProtection="0"/>
    <xf numFmtId="0" fontId="45" fillId="46" borderId="0" applyNumberFormat="0" applyBorder="0" applyAlignment="0" applyProtection="0"/>
    <xf numFmtId="0" fontId="13" fillId="14" borderId="0" applyNumberFormat="0" applyBorder="0" applyAlignment="0" applyProtection="0"/>
    <xf numFmtId="0" fontId="45" fillId="47" borderId="0" applyNumberFormat="0" applyBorder="0" applyAlignment="0" applyProtection="0"/>
    <xf numFmtId="0" fontId="13" fillId="15" borderId="0" applyNumberFormat="0" applyBorder="0" applyAlignment="0" applyProtection="0"/>
    <xf numFmtId="0" fontId="45" fillId="48" borderId="0" applyNumberFormat="0" applyBorder="0" applyAlignment="0" applyProtection="0"/>
    <xf numFmtId="0" fontId="13" fillId="16" borderId="0" applyNumberFormat="0" applyBorder="0" applyAlignment="0" applyProtection="0"/>
    <xf numFmtId="0" fontId="45" fillId="49" borderId="0" applyNumberFormat="0" applyBorder="0" applyAlignment="0" applyProtection="0"/>
    <xf numFmtId="0" fontId="18" fillId="7" borderId="1" applyNumberFormat="0" applyAlignment="0" applyProtection="0"/>
    <xf numFmtId="0" fontId="50" fillId="50" borderId="142" applyNumberFormat="0" applyAlignment="0" applyProtection="0"/>
    <xf numFmtId="0" fontId="51" fillId="51" borderId="0" applyNumberFormat="0" applyBorder="0" applyAlignment="0" applyProtection="0"/>
    <xf numFmtId="165" fontId="2" fillId="0" borderId="0" applyFont="0" applyFill="0" applyBorder="0" applyAlignment="0" applyProtection="0"/>
    <xf numFmtId="0" fontId="52" fillId="52" borderId="0" applyNumberFormat="0" applyBorder="0" applyAlignment="0" applyProtection="0"/>
    <xf numFmtId="0" fontId="5" fillId="0" borderId="0"/>
    <xf numFmtId="37" fontId="3" fillId="0" borderId="0"/>
    <xf numFmtId="0" fontId="44" fillId="0" borderId="0"/>
    <xf numFmtId="0" fontId="3" fillId="4" borderId="4" applyNumberFormat="0" applyFont="0" applyAlignment="0" applyProtection="0"/>
    <xf numFmtId="0" fontId="44" fillId="53" borderId="145" applyNumberFormat="0" applyFont="0" applyAlignment="0" applyProtection="0"/>
    <xf numFmtId="9" fontId="2" fillId="0" borderId="0" applyFont="0" applyFill="0" applyBorder="0" applyAlignment="0" applyProtection="0"/>
    <xf numFmtId="0" fontId="19" fillId="11" borderId="5" applyNumberFormat="0" applyAlignment="0" applyProtection="0"/>
    <xf numFmtId="0" fontId="53" fillId="42" borderId="146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56" fillId="0" borderId="147" applyNumberFormat="0" applyFill="0" applyAlignment="0" applyProtection="0"/>
    <xf numFmtId="0" fontId="24" fillId="0" borderId="7" applyNumberFormat="0" applyFill="0" applyAlignment="0" applyProtection="0"/>
    <xf numFmtId="0" fontId="57" fillId="0" borderId="148" applyNumberFormat="0" applyFill="0" applyAlignment="0" applyProtection="0"/>
    <xf numFmtId="0" fontId="25" fillId="0" borderId="8" applyNumberFormat="0" applyFill="0" applyAlignment="0" applyProtection="0"/>
    <xf numFmtId="0" fontId="58" fillId="0" borderId="149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0" fillId="0" borderId="150" applyNumberFormat="0" applyFill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42">
    <xf numFmtId="37" fontId="0" fillId="0" borderId="0" xfId="0"/>
    <xf numFmtId="37" fontId="4" fillId="0" borderId="0" xfId="0" applyFont="1"/>
    <xf numFmtId="37" fontId="2" fillId="0" borderId="0" xfId="0" applyFont="1"/>
    <xf numFmtId="37" fontId="1" fillId="0" borderId="0" xfId="0" applyFont="1" applyAlignment="1">
      <alignment horizontal="center"/>
    </xf>
    <xf numFmtId="37" fontId="6" fillId="0" borderId="0" xfId="0" applyFont="1"/>
    <xf numFmtId="37" fontId="7" fillId="0" borderId="0" xfId="0" applyFont="1"/>
    <xf numFmtId="37" fontId="8" fillId="0" borderId="0" xfId="0" applyFont="1"/>
    <xf numFmtId="39" fontId="0" fillId="0" borderId="0" xfId="0" applyNumberFormat="1"/>
    <xf numFmtId="37" fontId="27" fillId="0" borderId="0" xfId="0" applyFont="1" applyAlignment="1">
      <alignment vertical="center"/>
    </xf>
    <xf numFmtId="37" fontId="28" fillId="0" borderId="0" xfId="0" applyFont="1" applyAlignment="1">
      <alignment vertical="center"/>
    </xf>
    <xf numFmtId="39" fontId="27" fillId="0" borderId="10" xfId="0" applyNumberFormat="1" applyFont="1" applyBorder="1" applyAlignment="1">
      <alignment horizontal="center" vertical="center"/>
    </xf>
    <xf numFmtId="39" fontId="27" fillId="0" borderId="11" xfId="0" applyNumberFormat="1" applyFont="1" applyBorder="1" applyAlignment="1">
      <alignment horizontal="center" vertical="center"/>
    </xf>
    <xf numFmtId="37" fontId="27" fillId="0" borderId="0" xfId="0" applyFont="1"/>
    <xf numFmtId="164" fontId="27" fillId="0" borderId="12" xfId="86" applyFont="1" applyBorder="1" applyAlignment="1">
      <alignment horizontal="right" vertical="center"/>
    </xf>
    <xf numFmtId="37" fontId="27" fillId="0" borderId="13" xfId="0" applyFont="1" applyBorder="1" applyAlignment="1">
      <alignment horizontal="center" vertical="center" wrapText="1"/>
    </xf>
    <xf numFmtId="37" fontId="27" fillId="0" borderId="14" xfId="0" applyFont="1" applyBorder="1" applyAlignment="1">
      <alignment horizontal="center" vertical="center" wrapText="1"/>
    </xf>
    <xf numFmtId="164" fontId="27" fillId="0" borderId="0" xfId="86" applyFont="1" applyAlignment="1">
      <alignment horizontal="left" vertical="center"/>
    </xf>
    <xf numFmtId="164" fontId="27" fillId="0" borderId="0" xfId="86" applyFont="1" applyAlignment="1">
      <alignment horizontal="right" vertical="center"/>
    </xf>
    <xf numFmtId="164" fontId="31" fillId="0" borderId="0" xfId="86" applyFont="1" applyAlignment="1">
      <alignment horizontal="right" vertical="center"/>
    </xf>
    <xf numFmtId="37" fontId="27" fillId="0" borderId="15" xfId="0" applyFont="1" applyBorder="1" applyAlignment="1">
      <alignment horizontal="right" vertical="center" indent="1"/>
    </xf>
    <xf numFmtId="37" fontId="27" fillId="0" borderId="12" xfId="0" applyFont="1" applyBorder="1" applyAlignment="1">
      <alignment horizontal="right" vertical="center" indent="1"/>
    </xf>
    <xf numFmtId="37" fontId="31" fillId="0" borderId="16" xfId="0" applyFont="1" applyBorder="1" applyAlignment="1">
      <alignment horizontal="right" vertical="center" indent="1"/>
    </xf>
    <xf numFmtId="37" fontId="27" fillId="0" borderId="17" xfId="0" applyFont="1" applyBorder="1" applyAlignment="1">
      <alignment horizontal="right" vertical="center" indent="1"/>
    </xf>
    <xf numFmtId="37" fontId="27" fillId="0" borderId="18" xfId="0" applyFont="1" applyBorder="1" applyAlignment="1">
      <alignment horizontal="right" vertical="center" indent="1"/>
    </xf>
    <xf numFmtId="37" fontId="31" fillId="0" borderId="19" xfId="0" applyFont="1" applyBorder="1" applyAlignment="1">
      <alignment horizontal="right" vertical="center" indent="1"/>
    </xf>
    <xf numFmtId="37" fontId="27" fillId="0" borderId="0" xfId="0" applyFont="1" applyAlignment="1">
      <alignment horizontal="center" vertical="center"/>
    </xf>
    <xf numFmtId="39" fontId="27" fillId="0" borderId="0" xfId="0" applyNumberFormat="1" applyFont="1" applyAlignment="1">
      <alignment vertical="center"/>
    </xf>
    <xf numFmtId="37" fontId="29" fillId="0" borderId="0" xfId="0" applyFont="1" applyAlignment="1">
      <alignment vertical="center"/>
    </xf>
    <xf numFmtId="37" fontId="0" fillId="0" borderId="20" xfId="0" applyBorder="1"/>
    <xf numFmtId="37" fontId="0" fillId="0" borderId="21" xfId="0" applyBorder="1"/>
    <xf numFmtId="37" fontId="0" fillId="0" borderId="22" xfId="0" applyBorder="1"/>
    <xf numFmtId="37" fontId="0" fillId="0" borderId="23" xfId="0" applyBorder="1"/>
    <xf numFmtId="37" fontId="0" fillId="0" borderId="24" xfId="0" applyBorder="1"/>
    <xf numFmtId="37" fontId="31" fillId="17" borderId="25" xfId="0" applyFont="1" applyFill="1" applyBorder="1" applyAlignment="1">
      <alignment horizontal="right" vertical="center" indent="1"/>
    </xf>
    <xf numFmtId="37" fontId="31" fillId="17" borderId="26" xfId="0" applyFont="1" applyFill="1" applyBorder="1" applyAlignment="1">
      <alignment horizontal="right" vertical="center" indent="1"/>
    </xf>
    <xf numFmtId="37" fontId="29" fillId="0" borderId="0" xfId="0" applyFont="1"/>
    <xf numFmtId="37" fontId="28" fillId="0" borderId="0" xfId="0" applyFont="1"/>
    <xf numFmtId="174" fontId="28" fillId="0" borderId="0" xfId="0" applyNumberFormat="1" applyFont="1"/>
    <xf numFmtId="37" fontId="33" fillId="0" borderId="0" xfId="0" applyFont="1" applyAlignment="1">
      <alignment horizontal="center" vertical="center"/>
    </xf>
    <xf numFmtId="169" fontId="29" fillId="0" borderId="27" xfId="0" applyNumberFormat="1" applyFont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29" fillId="0" borderId="30" xfId="0" applyNumberFormat="1" applyFont="1" applyBorder="1" applyAlignment="1">
      <alignment horizontal="center" vertical="center"/>
    </xf>
    <xf numFmtId="169" fontId="29" fillId="0" borderId="27" xfId="86" applyNumberFormat="1" applyFont="1" applyBorder="1" applyAlignment="1">
      <alignment horizontal="center" vertical="center"/>
    </xf>
    <xf numFmtId="169" fontId="29" fillId="0" borderId="18" xfId="86" applyNumberFormat="1" applyFont="1" applyBorder="1" applyAlignment="1">
      <alignment horizontal="center" vertical="center"/>
    </xf>
    <xf numFmtId="169" fontId="29" fillId="0" borderId="17" xfId="86" applyNumberFormat="1" applyFont="1" applyBorder="1" applyAlignment="1">
      <alignment horizontal="center" vertical="center"/>
    </xf>
    <xf numFmtId="172" fontId="28" fillId="0" borderId="0" xfId="0" applyNumberFormat="1" applyFont="1"/>
    <xf numFmtId="37" fontId="29" fillId="0" borderId="31" xfId="0" applyFont="1" applyBorder="1" applyAlignment="1">
      <alignment horizontal="center" vertical="center"/>
    </xf>
    <xf numFmtId="37" fontId="29" fillId="0" borderId="32" xfId="0" applyFont="1" applyBorder="1" applyAlignment="1">
      <alignment horizontal="center" vertical="center"/>
    </xf>
    <xf numFmtId="169" fontId="29" fillId="0" borderId="31" xfId="0" applyNumberFormat="1" applyFont="1" applyBorder="1" applyAlignment="1">
      <alignment horizontal="center" vertical="center"/>
    </xf>
    <xf numFmtId="37" fontId="27" fillId="0" borderId="33" xfId="0" applyFont="1" applyBorder="1" applyAlignment="1">
      <alignment vertical="center"/>
    </xf>
    <xf numFmtId="37" fontId="27" fillId="0" borderId="27" xfId="0" applyFont="1" applyBorder="1" applyAlignment="1">
      <alignment vertical="center"/>
    </xf>
    <xf numFmtId="37" fontId="27" fillId="0" borderId="34" xfId="0" applyFont="1" applyBorder="1" applyAlignment="1">
      <alignment vertical="center"/>
    </xf>
    <xf numFmtId="169" fontId="29" fillId="0" borderId="33" xfId="0" applyNumberFormat="1" applyFont="1" applyBorder="1" applyAlignment="1">
      <alignment horizontal="center" vertical="center"/>
    </xf>
    <xf numFmtId="169" fontId="27" fillId="0" borderId="15" xfId="0" applyNumberFormat="1" applyFont="1" applyBorder="1" applyAlignment="1">
      <alignment horizontal="center" vertical="center"/>
    </xf>
    <xf numFmtId="37" fontId="27" fillId="0" borderId="35" xfId="0" applyFont="1" applyBorder="1" applyAlignment="1">
      <alignment horizontal="center" vertical="center"/>
    </xf>
    <xf numFmtId="164" fontId="27" fillId="0" borderId="12" xfId="86" applyFont="1" applyBorder="1" applyAlignment="1">
      <alignment horizontal="center" vertical="center"/>
    </xf>
    <xf numFmtId="164" fontId="27" fillId="0" borderId="35" xfId="86" applyFont="1" applyBorder="1" applyAlignment="1">
      <alignment horizontal="center" vertical="center"/>
    </xf>
    <xf numFmtId="169" fontId="30" fillId="0" borderId="17" xfId="0" applyNumberFormat="1" applyFont="1" applyBorder="1" applyAlignment="1">
      <alignment vertical="center"/>
    </xf>
    <xf numFmtId="169" fontId="30" fillId="0" borderId="33" xfId="0" applyNumberFormat="1" applyFont="1" applyBorder="1" applyAlignment="1">
      <alignment horizontal="center" vertical="center"/>
    </xf>
    <xf numFmtId="169" fontId="30" fillId="0" borderId="17" xfId="0" applyNumberFormat="1" applyFont="1" applyBorder="1" applyAlignment="1">
      <alignment horizontal="center" vertical="center"/>
    </xf>
    <xf numFmtId="10" fontId="27" fillId="0" borderId="12" xfId="67" applyNumberFormat="1" applyFont="1" applyBorder="1" applyAlignment="1">
      <alignment horizontal="center" vertical="center"/>
    </xf>
    <xf numFmtId="10" fontId="27" fillId="0" borderId="30" xfId="67" applyNumberFormat="1" applyFont="1" applyBorder="1" applyAlignment="1">
      <alignment horizontal="center" vertical="center"/>
    </xf>
    <xf numFmtId="169" fontId="30" fillId="0" borderId="18" xfId="0" applyNumberFormat="1" applyFont="1" applyBorder="1" applyAlignment="1">
      <alignment horizontal="center" vertical="center"/>
    </xf>
    <xf numFmtId="173" fontId="30" fillId="0" borderId="18" xfId="0" applyNumberFormat="1" applyFont="1" applyBorder="1" applyAlignment="1">
      <alignment horizontal="center" vertical="center"/>
    </xf>
    <xf numFmtId="37" fontId="30" fillId="0" borderId="36" xfId="0" applyFont="1" applyBorder="1" applyAlignment="1">
      <alignment horizontal="center" vertical="center"/>
    </xf>
    <xf numFmtId="169" fontId="30" fillId="0" borderId="27" xfId="0" applyNumberFormat="1" applyFont="1" applyBorder="1" applyAlignment="1">
      <alignment horizontal="center" vertical="center"/>
    </xf>
    <xf numFmtId="37" fontId="30" fillId="0" borderId="34" xfId="0" applyFont="1" applyBorder="1" applyAlignment="1">
      <alignment horizontal="center" vertical="center"/>
    </xf>
    <xf numFmtId="173" fontId="30" fillId="0" borderId="36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right" vertical="center"/>
    </xf>
    <xf numFmtId="169" fontId="30" fillId="0" borderId="18" xfId="86" applyNumberFormat="1" applyFont="1" applyBorder="1" applyAlignment="1">
      <alignment horizontal="center" vertical="center"/>
    </xf>
    <xf numFmtId="164" fontId="27" fillId="0" borderId="15" xfId="86" applyFont="1" applyBorder="1" applyAlignment="1">
      <alignment horizontal="center" vertical="center"/>
    </xf>
    <xf numFmtId="170" fontId="27" fillId="0" borderId="12" xfId="86" applyNumberFormat="1" applyFont="1" applyBorder="1" applyAlignment="1">
      <alignment horizontal="center" vertical="center"/>
    </xf>
    <xf numFmtId="164" fontId="27" fillId="0" borderId="15" xfId="86" applyFont="1" applyBorder="1" applyAlignment="1">
      <alignment horizontal="right" vertical="center"/>
    </xf>
    <xf numFmtId="169" fontId="27" fillId="0" borderId="12" xfId="86" applyNumberFormat="1" applyFont="1" applyBorder="1" applyAlignment="1">
      <alignment horizontal="right" vertical="center"/>
    </xf>
    <xf numFmtId="169" fontId="29" fillId="0" borderId="28" xfId="0" applyNumberFormat="1" applyFont="1" applyBorder="1" applyAlignment="1">
      <alignment horizontal="right" vertical="center"/>
    </xf>
    <xf numFmtId="169" fontId="29" fillId="0" borderId="29" xfId="0" applyNumberFormat="1" applyFont="1" applyBorder="1" applyAlignment="1">
      <alignment horizontal="right" vertical="center"/>
    </xf>
    <xf numFmtId="170" fontId="29" fillId="0" borderId="29" xfId="0" applyNumberFormat="1" applyFont="1" applyBorder="1" applyAlignment="1">
      <alignment horizontal="right" vertical="center"/>
    </xf>
    <xf numFmtId="169" fontId="29" fillId="0" borderId="29" xfId="86" applyNumberFormat="1" applyFont="1" applyBorder="1" applyAlignment="1">
      <alignment horizontal="right" vertical="center"/>
    </xf>
    <xf numFmtId="169" fontId="29" fillId="0" borderId="30" xfId="0" applyNumberFormat="1" applyFont="1" applyBorder="1" applyAlignment="1">
      <alignment horizontal="right" vertical="center"/>
    </xf>
    <xf numFmtId="170" fontId="29" fillId="0" borderId="30" xfId="0" applyNumberFormat="1" applyFont="1" applyBorder="1" applyAlignment="1">
      <alignment horizontal="right" vertical="center"/>
    </xf>
    <xf numFmtId="2" fontId="27" fillId="0" borderId="12" xfId="0" applyNumberFormat="1" applyFont="1" applyBorder="1" applyAlignment="1">
      <alignment vertical="center"/>
    </xf>
    <xf numFmtId="37" fontId="27" fillId="18" borderId="36" xfId="0" applyFont="1" applyFill="1" applyBorder="1" applyAlignment="1">
      <alignment horizontal="center" vertical="center"/>
    </xf>
    <xf numFmtId="37" fontId="27" fillId="18" borderId="35" xfId="0" applyFont="1" applyFill="1" applyBorder="1" applyAlignment="1">
      <alignment horizontal="center" vertical="center"/>
    </xf>
    <xf numFmtId="37" fontId="27" fillId="18" borderId="32" xfId="0" applyFont="1" applyFill="1" applyBorder="1" applyAlignment="1">
      <alignment horizontal="center" vertical="center"/>
    </xf>
    <xf numFmtId="37" fontId="27" fillId="18" borderId="31" xfId="0" applyFont="1" applyFill="1" applyBorder="1" applyAlignment="1">
      <alignment horizontal="center" vertical="center"/>
    </xf>
    <xf numFmtId="37" fontId="27" fillId="18" borderId="34" xfId="0" applyFont="1" applyFill="1" applyBorder="1" applyAlignment="1">
      <alignment horizontal="center" vertical="center"/>
    </xf>
    <xf numFmtId="168" fontId="36" fillId="18" borderId="13" xfId="0" applyNumberFormat="1" applyFont="1" applyFill="1" applyBorder="1" applyAlignment="1">
      <alignment horizontal="center" vertical="center"/>
    </xf>
    <xf numFmtId="168" fontId="36" fillId="18" borderId="14" xfId="0" applyNumberFormat="1" applyFont="1" applyFill="1" applyBorder="1" applyAlignment="1">
      <alignment horizontal="center" vertical="center"/>
    </xf>
    <xf numFmtId="168" fontId="36" fillId="18" borderId="37" xfId="0" applyNumberFormat="1" applyFont="1" applyFill="1" applyBorder="1" applyAlignment="1">
      <alignment horizontal="center" vertical="center"/>
    </xf>
    <xf numFmtId="37" fontId="28" fillId="18" borderId="38" xfId="0" applyFont="1" applyFill="1" applyBorder="1" applyAlignment="1">
      <alignment horizontal="center" vertical="center"/>
    </xf>
    <xf numFmtId="37" fontId="28" fillId="18" borderId="14" xfId="0" applyFont="1" applyFill="1" applyBorder="1" applyAlignment="1">
      <alignment horizontal="center" vertical="center"/>
    </xf>
    <xf numFmtId="168" fontId="36" fillId="18" borderId="39" xfId="0" applyNumberFormat="1" applyFont="1" applyFill="1" applyBorder="1" applyAlignment="1">
      <alignment horizontal="center" vertical="center"/>
    </xf>
    <xf numFmtId="37" fontId="28" fillId="18" borderId="13" xfId="0" applyFont="1" applyFill="1" applyBorder="1" applyAlignment="1">
      <alignment horizontal="center" vertical="center"/>
    </xf>
    <xf numFmtId="169" fontId="28" fillId="18" borderId="38" xfId="0" applyNumberFormat="1" applyFont="1" applyFill="1" applyBorder="1" applyAlignment="1">
      <alignment horizontal="center" vertical="center"/>
    </xf>
    <xf numFmtId="169" fontId="29" fillId="0" borderId="34" xfId="0" applyNumberFormat="1" applyFont="1" applyBorder="1" applyAlignment="1">
      <alignment horizontal="center" vertical="center"/>
    </xf>
    <xf numFmtId="169" fontId="29" fillId="0" borderId="28" xfId="86" applyNumberFormat="1" applyFont="1" applyBorder="1" applyAlignment="1">
      <alignment horizontal="right" vertical="center"/>
    </xf>
    <xf numFmtId="37" fontId="32" fillId="0" borderId="0" xfId="0" applyFont="1"/>
    <xf numFmtId="168" fontId="32" fillId="18" borderId="13" xfId="0" applyNumberFormat="1" applyFont="1" applyFill="1" applyBorder="1" applyAlignment="1">
      <alignment horizontal="center" vertical="center"/>
    </xf>
    <xf numFmtId="168" fontId="32" fillId="18" borderId="14" xfId="0" applyNumberFormat="1" applyFont="1" applyFill="1" applyBorder="1" applyAlignment="1">
      <alignment horizontal="center" vertical="center"/>
    </xf>
    <xf numFmtId="168" fontId="32" fillId="18" borderId="37" xfId="0" applyNumberFormat="1" applyFont="1" applyFill="1" applyBorder="1" applyAlignment="1">
      <alignment horizontal="center" vertical="center"/>
    </xf>
    <xf numFmtId="168" fontId="32" fillId="18" borderId="39" xfId="0" applyNumberFormat="1" applyFont="1" applyFill="1" applyBorder="1" applyAlignment="1">
      <alignment horizontal="center" vertical="center"/>
    </xf>
    <xf numFmtId="37" fontId="32" fillId="18" borderId="38" xfId="0" applyFont="1" applyFill="1" applyBorder="1" applyAlignment="1">
      <alignment horizontal="center" vertical="center"/>
    </xf>
    <xf numFmtId="37" fontId="32" fillId="18" borderId="14" xfId="0" applyFont="1" applyFill="1" applyBorder="1" applyAlignment="1">
      <alignment horizontal="center" vertical="center"/>
    </xf>
    <xf numFmtId="37" fontId="32" fillId="18" borderId="13" xfId="0" applyFont="1" applyFill="1" applyBorder="1" applyAlignment="1">
      <alignment horizontal="center" vertical="center"/>
    </xf>
    <xf numFmtId="169" fontId="32" fillId="18" borderId="38" xfId="0" applyNumberFormat="1" applyFont="1" applyFill="1" applyBorder="1" applyAlignment="1">
      <alignment horizontal="center" vertical="center"/>
    </xf>
    <xf numFmtId="168" fontId="32" fillId="18" borderId="19" xfId="0" applyNumberFormat="1" applyFont="1" applyFill="1" applyBorder="1" applyAlignment="1">
      <alignment horizontal="center" vertical="center"/>
    </xf>
    <xf numFmtId="168" fontId="32" fillId="18" borderId="16" xfId="0" applyNumberFormat="1" applyFont="1" applyFill="1" applyBorder="1" applyAlignment="1">
      <alignment horizontal="center" vertical="center"/>
    </xf>
    <xf numFmtId="168" fontId="32" fillId="18" borderId="40" xfId="0" applyNumberFormat="1" applyFont="1" applyFill="1" applyBorder="1" applyAlignment="1">
      <alignment horizontal="center" vertical="center"/>
    </xf>
    <xf numFmtId="37" fontId="32" fillId="18" borderId="19" xfId="0" applyFont="1" applyFill="1" applyBorder="1" applyAlignment="1">
      <alignment horizontal="center" vertical="center"/>
    </xf>
    <xf numFmtId="37" fontId="32" fillId="18" borderId="16" xfId="0" applyFont="1" applyFill="1" applyBorder="1" applyAlignment="1">
      <alignment horizontal="center" vertical="center"/>
    </xf>
    <xf numFmtId="169" fontId="32" fillId="18" borderId="41" xfId="0" applyNumberFormat="1" applyFont="1" applyFill="1" applyBorder="1" applyAlignment="1">
      <alignment horizontal="center" vertical="center"/>
    </xf>
    <xf numFmtId="37" fontId="28" fillId="0" borderId="23" xfId="0" applyFont="1" applyBorder="1" applyAlignment="1">
      <alignment vertical="center"/>
    </xf>
    <xf numFmtId="169" fontId="28" fillId="19" borderId="42" xfId="0" applyNumberFormat="1" applyFont="1" applyFill="1" applyBorder="1" applyAlignment="1">
      <alignment horizontal="center" vertical="center"/>
    </xf>
    <xf numFmtId="37" fontId="29" fillId="19" borderId="43" xfId="0" applyFont="1" applyFill="1" applyBorder="1" applyAlignment="1">
      <alignment horizontal="right" vertical="center"/>
    </xf>
    <xf numFmtId="9" fontId="29" fillId="19" borderId="44" xfId="67" applyFont="1" applyFill="1" applyBorder="1" applyAlignment="1">
      <alignment horizontal="center" vertical="center"/>
    </xf>
    <xf numFmtId="37" fontId="29" fillId="19" borderId="45" xfId="0" applyFont="1" applyFill="1" applyBorder="1" applyAlignment="1">
      <alignment vertical="center"/>
    </xf>
    <xf numFmtId="37" fontId="29" fillId="19" borderId="44" xfId="0" applyFont="1" applyFill="1" applyBorder="1" applyAlignment="1">
      <alignment horizontal="right" vertical="center"/>
    </xf>
    <xf numFmtId="169" fontId="28" fillId="19" borderId="46" xfId="0" applyNumberFormat="1" applyFont="1" applyFill="1" applyBorder="1" applyAlignment="1">
      <alignment horizontal="center" vertical="center"/>
    </xf>
    <xf numFmtId="9" fontId="29" fillId="19" borderId="44" xfId="67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/>
    <xf numFmtId="4" fontId="0" fillId="0" borderId="0" xfId="0" applyNumberFormat="1"/>
    <xf numFmtId="9" fontId="7" fillId="0" borderId="0" xfId="67" applyFont="1"/>
    <xf numFmtId="174" fontId="0" fillId="0" borderId="0" xfId="0" applyNumberFormat="1"/>
    <xf numFmtId="164" fontId="28" fillId="0" borderId="0" xfId="86" applyFont="1"/>
    <xf numFmtId="166" fontId="29" fillId="0" borderId="29" xfId="0" applyNumberFormat="1" applyFont="1" applyBorder="1" applyAlignment="1">
      <alignment horizontal="right" vertical="center"/>
    </xf>
    <xf numFmtId="169" fontId="30" fillId="0" borderId="17" xfId="86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right" vertical="center"/>
    </xf>
    <xf numFmtId="37" fontId="27" fillId="0" borderId="0" xfId="0" applyFont="1" applyAlignment="1">
      <alignment horizontal="center" vertical="center" wrapText="1"/>
    </xf>
    <xf numFmtId="39" fontId="4" fillId="0" borderId="0" xfId="0" applyNumberFormat="1" applyFont="1"/>
    <xf numFmtId="164" fontId="7" fillId="0" borderId="0" xfId="86" applyFont="1"/>
    <xf numFmtId="37" fontId="0" fillId="0" borderId="0" xfId="0" applyAlignment="1">
      <alignment horizontal="left"/>
    </xf>
    <xf numFmtId="181" fontId="0" fillId="0" borderId="0" xfId="0" applyNumberFormat="1"/>
    <xf numFmtId="37" fontId="0" fillId="0" borderId="0" xfId="0" applyAlignment="1">
      <alignment horizontal="left" indent="1"/>
    </xf>
    <xf numFmtId="9" fontId="2" fillId="0" borderId="0" xfId="67"/>
    <xf numFmtId="179" fontId="2" fillId="0" borderId="0" xfId="0" applyNumberFormat="1" applyFont="1"/>
    <xf numFmtId="181" fontId="38" fillId="0" borderId="0" xfId="0" applyNumberFormat="1" applyFont="1"/>
    <xf numFmtId="9" fontId="4" fillId="0" borderId="0" xfId="67" applyFont="1"/>
    <xf numFmtId="10" fontId="7" fillId="0" borderId="0" xfId="67" applyNumberFormat="1" applyFont="1"/>
    <xf numFmtId="9" fontId="0" fillId="0" borderId="0" xfId="67" applyFont="1"/>
    <xf numFmtId="37" fontId="61" fillId="0" borderId="0" xfId="0" applyFont="1"/>
    <xf numFmtId="37" fontId="61" fillId="0" borderId="0" xfId="0" applyFont="1"/>
    <xf numFmtId="39" fontId="61" fillId="0" borderId="0" xfId="0" applyNumberFormat="1" applyFont="1"/>
    <xf numFmtId="186" fontId="29" fillId="0" borderId="29" xfId="0" applyNumberFormat="1" applyFont="1" applyBorder="1" applyAlignment="1">
      <alignment horizontal="right" vertical="center"/>
    </xf>
    <xf numFmtId="178" fontId="0" fillId="54" borderId="0" xfId="0" applyNumberFormat="1" applyFill="1"/>
    <xf numFmtId="37" fontId="2" fillId="54" borderId="0" xfId="0" applyFont="1" applyFill="1"/>
    <xf numFmtId="10" fontId="27" fillId="54" borderId="0" xfId="67" applyNumberFormat="1" applyFont="1" applyFill="1" applyAlignment="1" applyProtection="1">
      <alignment horizontal="center" vertical="center"/>
      <protection locked="0"/>
    </xf>
    <xf numFmtId="37" fontId="2" fillId="54" borderId="0" xfId="0" applyFont="1" applyFill="1"/>
    <xf numFmtId="37" fontId="1" fillId="54" borderId="0" xfId="0" applyFont="1" applyFill="1" applyAlignment="1">
      <alignment horizontal="center"/>
    </xf>
    <xf numFmtId="183" fontId="2" fillId="0" borderId="0" xfId="0" applyNumberFormat="1" applyFont="1"/>
    <xf numFmtId="175" fontId="27" fillId="54" borderId="0" xfId="63" applyNumberFormat="1" applyFont="1" applyFill="1" applyAlignment="1">
      <alignment horizontal="right" vertical="center"/>
    </xf>
    <xf numFmtId="37" fontId="4" fillId="54" borderId="0" xfId="0" applyFont="1" applyFill="1"/>
    <xf numFmtId="176" fontId="2" fillId="54" borderId="0" xfId="60" applyNumberFormat="1" applyFill="1"/>
    <xf numFmtId="176" fontId="4" fillId="54" borderId="0" xfId="60" applyNumberFormat="1" applyFont="1" applyFill="1"/>
    <xf numFmtId="10" fontId="4" fillId="54" borderId="0" xfId="67" applyNumberFormat="1" applyFont="1" applyFill="1"/>
    <xf numFmtId="39" fontId="27" fillId="0" borderId="30" xfId="0" applyNumberFormat="1" applyFont="1" applyBorder="1" applyAlignment="1">
      <alignment vertical="center"/>
    </xf>
    <xf numFmtId="176" fontId="4" fillId="0" borderId="0" xfId="60" applyNumberFormat="1" applyFont="1"/>
    <xf numFmtId="10" fontId="4" fillId="0" borderId="0" xfId="67" applyNumberFormat="1" applyFont="1"/>
    <xf numFmtId="178" fontId="3" fillId="0" borderId="0" xfId="0" applyNumberFormat="1" applyFont="1"/>
    <xf numFmtId="37" fontId="27" fillId="0" borderId="0" xfId="0" applyFont="1" applyAlignment="1">
      <alignment horizontal="right" vertical="center" indent="1"/>
    </xf>
    <xf numFmtId="178" fontId="3" fillId="54" borderId="0" xfId="0" applyNumberFormat="1" applyFont="1" applyFill="1"/>
    <xf numFmtId="179" fontId="7" fillId="0" borderId="0" xfId="0" applyNumberFormat="1" applyFont="1"/>
    <xf numFmtId="37" fontId="60" fillId="55" borderId="151" xfId="0" applyFont="1" applyFill="1" applyBorder="1"/>
    <xf numFmtId="3" fontId="0" fillId="0" borderId="0" xfId="0" applyNumberFormat="1" applyAlignment="1">
      <alignment horizontal="left"/>
    </xf>
    <xf numFmtId="167" fontId="0" fillId="0" borderId="0" xfId="86" applyNumberFormat="1" applyFont="1"/>
    <xf numFmtId="37" fontId="4" fillId="0" borderId="47" xfId="0" applyFont="1" applyBorder="1" applyAlignment="1">
      <alignment horizontal="center" vertical="center"/>
    </xf>
    <xf numFmtId="10" fontId="4" fillId="0" borderId="47" xfId="67" applyNumberFormat="1" applyFont="1" applyBorder="1" applyAlignment="1">
      <alignment horizontal="center" vertical="center"/>
    </xf>
    <xf numFmtId="176" fontId="4" fillId="54" borderId="0" xfId="0" applyNumberFormat="1" applyFont="1" applyFill="1"/>
    <xf numFmtId="4" fontId="27" fillId="0" borderId="0" xfId="0" applyNumberFormat="1" applyFont="1" applyAlignment="1">
      <alignment horizontal="right" vertical="center"/>
    </xf>
    <xf numFmtId="37" fontId="31" fillId="0" borderId="0" xfId="0" applyFont="1" applyAlignment="1">
      <alignment vertical="center" wrapText="1"/>
    </xf>
    <xf numFmtId="1" fontId="31" fillId="0" borderId="0" xfId="0" applyNumberFormat="1" applyFont="1" applyAlignment="1">
      <alignment vertical="center" wrapText="1"/>
    </xf>
    <xf numFmtId="167" fontId="11" fillId="0" borderId="0" xfId="86" applyNumberFormat="1" applyFont="1" applyAlignment="1">
      <alignment horizontal="left" vertical="center"/>
    </xf>
    <xf numFmtId="187" fontId="7" fillId="0" borderId="0" xfId="0" applyNumberFormat="1" applyFont="1"/>
    <xf numFmtId="39" fontId="29" fillId="0" borderId="0" xfId="0" applyNumberFormat="1" applyFont="1"/>
    <xf numFmtId="37" fontId="32" fillId="0" borderId="0" xfId="0" applyFont="1" applyAlignment="1">
      <alignment vertical="center"/>
    </xf>
    <xf numFmtId="164" fontId="29" fillId="0" borderId="0" xfId="86" applyFont="1" applyAlignment="1">
      <alignment vertical="center"/>
    </xf>
    <xf numFmtId="167" fontId="11" fillId="54" borderId="0" xfId="86" applyNumberFormat="1" applyFont="1" applyFill="1" applyBorder="1" applyAlignment="1">
      <alignment horizontal="left" vertical="center"/>
    </xf>
    <xf numFmtId="37" fontId="0" fillId="0" borderId="0" xfId="0" pivotButton="1"/>
    <xf numFmtId="10" fontId="0" fillId="0" borderId="0" xfId="67" applyNumberFormat="1" applyFont="1"/>
    <xf numFmtId="37" fontId="0" fillId="0" borderId="0" xfId="0" applyBorder="1"/>
    <xf numFmtId="37" fontId="41" fillId="0" borderId="0" xfId="0" applyFont="1" applyBorder="1" applyAlignment="1">
      <alignment horizontal="center" vertical="center" wrapText="1"/>
    </xf>
    <xf numFmtId="39" fontId="7" fillId="0" borderId="0" xfId="0" applyNumberFormat="1" applyFont="1"/>
    <xf numFmtId="37" fontId="0" fillId="0" borderId="0" xfId="0" applyFill="1" applyBorder="1"/>
    <xf numFmtId="39" fontId="0" fillId="0" borderId="0" xfId="0" applyNumberFormat="1" applyFill="1" applyBorder="1"/>
    <xf numFmtId="4" fontId="29" fillId="0" borderId="0" xfId="86" applyNumberFormat="1" applyFont="1" applyFill="1" applyBorder="1" applyAlignment="1">
      <alignment horizontal="right" vertical="center"/>
    </xf>
    <xf numFmtId="37" fontId="62" fillId="0" borderId="0" xfId="0" applyFont="1" applyAlignment="1">
      <alignment vertical="center"/>
    </xf>
    <xf numFmtId="37" fontId="27" fillId="0" borderId="18" xfId="0" applyFont="1" applyFill="1" applyBorder="1" applyAlignment="1">
      <alignment horizontal="right" vertical="center" indent="1"/>
    </xf>
    <xf numFmtId="37" fontId="27" fillId="0" borderId="12" xfId="0" applyFont="1" applyFill="1" applyBorder="1" applyAlignment="1">
      <alignment horizontal="right" vertical="center" indent="1"/>
    </xf>
    <xf numFmtId="1" fontId="27" fillId="54" borderId="0" xfId="67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6" fillId="56" borderId="23" xfId="0" applyFont="1" applyFill="1" applyBorder="1" applyAlignment="1">
      <alignment vertical="center"/>
    </xf>
    <xf numFmtId="37" fontId="36" fillId="56" borderId="0" xfId="0" applyFont="1" applyFill="1" applyAlignment="1">
      <alignment horizontal="center" vertical="center"/>
    </xf>
    <xf numFmtId="39" fontId="27" fillId="54" borderId="0" xfId="63" applyNumberFormat="1" applyFont="1" applyFill="1" applyAlignment="1">
      <alignment vertical="center"/>
    </xf>
    <xf numFmtId="39" fontId="29" fillId="56" borderId="25" xfId="0" applyNumberFormat="1" applyFont="1" applyFill="1" applyBorder="1" applyAlignment="1">
      <alignment horizontal="right" vertical="center" indent="1"/>
    </xf>
    <xf numFmtId="3" fontId="28" fillId="0" borderId="18" xfId="86" applyNumberFormat="1" applyFont="1" applyBorder="1" applyAlignment="1">
      <alignment horizontal="center" vertical="center"/>
    </xf>
    <xf numFmtId="49" fontId="31" fillId="56" borderId="49" xfId="0" applyNumberFormat="1" applyFont="1" applyFill="1" applyBorder="1" applyAlignment="1">
      <alignment horizontal="center" vertical="center" wrapText="1"/>
    </xf>
    <xf numFmtId="37" fontId="32" fillId="21" borderId="50" xfId="0" applyFont="1" applyFill="1" applyBorder="1" applyAlignment="1">
      <alignment vertical="center"/>
    </xf>
    <xf numFmtId="167" fontId="11" fillId="21" borderId="51" xfId="86" applyNumberFormat="1" applyFont="1" applyFill="1" applyBorder="1" applyAlignment="1">
      <alignment horizontal="left" vertical="center"/>
    </xf>
    <xf numFmtId="37" fontId="0" fillId="0" borderId="48" xfId="0" applyBorder="1"/>
    <xf numFmtId="39" fontId="27" fillId="0" borderId="52" xfId="0" applyNumberFormat="1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 vertical="center"/>
    </xf>
    <xf numFmtId="37" fontId="0" fillId="0" borderId="53" xfId="0" applyBorder="1"/>
    <xf numFmtId="37" fontId="29" fillId="0" borderId="54" xfId="0" applyFont="1" applyBorder="1" applyAlignment="1">
      <alignment horizontal="left" vertical="center" indent="1"/>
    </xf>
    <xf numFmtId="37" fontId="32" fillId="21" borderId="55" xfId="0" applyFont="1" applyFill="1" applyBorder="1" applyAlignment="1">
      <alignment vertical="center"/>
    </xf>
    <xf numFmtId="37" fontId="32" fillId="21" borderId="56" xfId="0" applyFont="1" applyFill="1" applyBorder="1" applyAlignment="1">
      <alignment vertical="center"/>
    </xf>
    <xf numFmtId="37" fontId="27" fillId="54" borderId="57" xfId="63" applyFont="1" applyFill="1" applyBorder="1" applyAlignment="1">
      <alignment vertical="center"/>
    </xf>
    <xf numFmtId="187" fontId="4" fillId="54" borderId="58" xfId="0" applyNumberFormat="1" applyFont="1" applyFill="1" applyBorder="1"/>
    <xf numFmtId="37" fontId="2" fillId="0" borderId="49" xfId="0" applyFont="1" applyBorder="1"/>
    <xf numFmtId="37" fontId="27" fillId="54" borderId="48" xfId="63" applyFont="1" applyFill="1" applyBorder="1" applyAlignment="1">
      <alignment vertical="center"/>
    </xf>
    <xf numFmtId="187" fontId="2" fillId="54" borderId="49" xfId="0" applyNumberFormat="1" applyFont="1" applyFill="1" applyBorder="1"/>
    <xf numFmtId="9" fontId="27" fillId="54" borderId="57" xfId="67" applyFont="1" applyFill="1" applyBorder="1" applyAlignment="1">
      <alignment vertical="center"/>
    </xf>
    <xf numFmtId="37" fontId="27" fillId="54" borderId="59" xfId="63" applyFont="1" applyFill="1" applyBorder="1" applyAlignment="1">
      <alignment vertical="center"/>
    </xf>
    <xf numFmtId="179" fontId="2" fillId="0" borderId="60" xfId="0" applyNumberFormat="1" applyFont="1" applyBorder="1"/>
    <xf numFmtId="37" fontId="36" fillId="18" borderId="61" xfId="0" applyFont="1" applyFill="1" applyBorder="1" applyAlignment="1">
      <alignment horizontal="left" vertical="center" indent="1"/>
    </xf>
    <xf numFmtId="37" fontId="29" fillId="0" borderId="62" xfId="0" applyFont="1" applyBorder="1" applyAlignment="1">
      <alignment horizontal="left" vertical="center" indent="1"/>
    </xf>
    <xf numFmtId="37" fontId="63" fillId="0" borderId="62" xfId="0" applyFont="1" applyBorder="1" applyAlignment="1">
      <alignment horizontal="left" vertical="center" indent="1"/>
    </xf>
    <xf numFmtId="3" fontId="28" fillId="0" borderId="63" xfId="86" applyNumberFormat="1" applyFont="1" applyBorder="1" applyAlignment="1">
      <alignment horizontal="center" vertical="center"/>
    </xf>
    <xf numFmtId="37" fontId="28" fillId="0" borderId="48" xfId="0" applyFont="1" applyBorder="1" applyAlignment="1">
      <alignment vertical="center"/>
    </xf>
    <xf numFmtId="37" fontId="28" fillId="0" borderId="0" xfId="0" applyFont="1" applyBorder="1" applyAlignment="1">
      <alignment vertical="center"/>
    </xf>
    <xf numFmtId="37" fontId="28" fillId="0" borderId="0" xfId="0" applyFont="1" applyBorder="1" applyAlignment="1">
      <alignment horizontal="center" vertical="center"/>
    </xf>
    <xf numFmtId="37" fontId="28" fillId="0" borderId="49" xfId="0" applyFont="1" applyBorder="1" applyAlignment="1">
      <alignment horizontal="center" vertical="center"/>
    </xf>
    <xf numFmtId="37" fontId="28" fillId="18" borderId="64" xfId="0" applyFont="1" applyFill="1" applyBorder="1" applyAlignment="1">
      <alignment horizontal="left" vertical="center" indent="1"/>
    </xf>
    <xf numFmtId="37" fontId="27" fillId="18" borderId="65" xfId="0" applyFont="1" applyFill="1" applyBorder="1" applyAlignment="1">
      <alignment horizontal="center" vertical="center"/>
    </xf>
    <xf numFmtId="37" fontId="28" fillId="0" borderId="49" xfId="0" applyFont="1" applyBorder="1" applyAlignment="1">
      <alignment vertical="center"/>
    </xf>
    <xf numFmtId="37" fontId="28" fillId="18" borderId="66" xfId="0" applyFont="1" applyFill="1" applyBorder="1" applyAlignment="1">
      <alignment horizontal="left" vertical="center" indent="1"/>
    </xf>
    <xf numFmtId="10" fontId="28" fillId="18" borderId="67" xfId="67" applyNumberFormat="1" applyFont="1" applyFill="1" applyBorder="1" applyAlignment="1">
      <alignment horizontal="right" vertical="center"/>
    </xf>
    <xf numFmtId="37" fontId="34" fillId="0" borderId="68" xfId="0" applyFont="1" applyBorder="1" applyAlignment="1">
      <alignment horizontal="left" vertical="center" indent="1"/>
    </xf>
    <xf numFmtId="10" fontId="29" fillId="0" borderId="69" xfId="67" applyNumberFormat="1" applyFont="1" applyBorder="1" applyAlignment="1">
      <alignment horizontal="right" vertical="center"/>
    </xf>
    <xf numFmtId="37" fontId="34" fillId="0" borderId="70" xfId="0" applyFont="1" applyBorder="1" applyAlignment="1">
      <alignment horizontal="left" vertical="center" indent="1"/>
    </xf>
    <xf numFmtId="10" fontId="29" fillId="0" borderId="63" xfId="67" applyNumberFormat="1" applyFont="1" applyBorder="1" applyAlignment="1">
      <alignment horizontal="right" vertical="center"/>
    </xf>
    <xf numFmtId="37" fontId="34" fillId="0" borderId="70" xfId="0" quotePrefix="1" applyFont="1" applyBorder="1" applyAlignment="1">
      <alignment horizontal="left" vertical="center" indent="1"/>
    </xf>
    <xf numFmtId="37" fontId="34" fillId="0" borderId="71" xfId="0" quotePrefix="1" applyFont="1" applyBorder="1" applyAlignment="1">
      <alignment horizontal="left" vertical="center" indent="1"/>
    </xf>
    <xf numFmtId="10" fontId="29" fillId="0" borderId="65" xfId="67" applyNumberFormat="1" applyFont="1" applyBorder="1" applyAlignment="1">
      <alignment horizontal="right" vertical="center"/>
    </xf>
    <xf numFmtId="37" fontId="28" fillId="0" borderId="49" xfId="0" applyFont="1" applyBorder="1" applyAlignment="1">
      <alignment horizontal="right" vertical="center"/>
    </xf>
    <xf numFmtId="37" fontId="32" fillId="18" borderId="66" xfId="0" applyFont="1" applyFill="1" applyBorder="1" applyAlignment="1">
      <alignment horizontal="left" vertical="center" indent="1"/>
    </xf>
    <xf numFmtId="10" fontId="32" fillId="18" borderId="67" xfId="67" applyNumberFormat="1" applyFont="1" applyFill="1" applyBorder="1" applyAlignment="1">
      <alignment horizontal="right" vertical="center"/>
    </xf>
    <xf numFmtId="37" fontId="32" fillId="18" borderId="48" xfId="0" applyFont="1" applyFill="1" applyBorder="1" applyAlignment="1">
      <alignment horizontal="left" vertical="center" indent="1"/>
    </xf>
    <xf numFmtId="10" fontId="32" fillId="18" borderId="72" xfId="67" applyNumberFormat="1" applyFont="1" applyFill="1" applyBorder="1" applyAlignment="1">
      <alignment horizontal="right" vertical="center"/>
    </xf>
    <xf numFmtId="37" fontId="28" fillId="0" borderId="73" xfId="0" applyFont="1" applyBorder="1" applyAlignment="1">
      <alignment horizontal="right" vertical="center"/>
    </xf>
    <xf numFmtId="37" fontId="29" fillId="19" borderId="64" xfId="0" applyFont="1" applyFill="1" applyBorder="1" applyAlignment="1">
      <alignment horizontal="left" vertical="center" indent="1"/>
    </xf>
    <xf numFmtId="10" fontId="29" fillId="19" borderId="74" xfId="67" applyNumberFormat="1" applyFont="1" applyFill="1" applyBorder="1" applyAlignment="1">
      <alignment horizontal="right" vertical="center"/>
    </xf>
    <xf numFmtId="37" fontId="28" fillId="19" borderId="75" xfId="0" applyFont="1" applyFill="1" applyBorder="1" applyAlignment="1">
      <alignment horizontal="left" vertical="center" indent="1"/>
    </xf>
    <xf numFmtId="10" fontId="29" fillId="19" borderId="52" xfId="67" applyNumberFormat="1" applyFont="1" applyFill="1" applyBorder="1" applyAlignment="1">
      <alignment horizontal="right" vertical="center"/>
    </xf>
    <xf numFmtId="37" fontId="34" fillId="0" borderId="48" xfId="0" applyFont="1" applyBorder="1" applyAlignment="1">
      <alignment horizontal="left" vertical="center" indent="2"/>
    </xf>
    <xf numFmtId="9" fontId="29" fillId="0" borderId="0" xfId="67" applyFont="1" applyBorder="1" applyAlignment="1">
      <alignment horizontal="center" vertical="center"/>
    </xf>
    <xf numFmtId="37" fontId="29" fillId="0" borderId="0" xfId="0" applyFont="1" applyBorder="1" applyAlignment="1">
      <alignment vertical="center"/>
    </xf>
    <xf numFmtId="169" fontId="34" fillId="0" borderId="0" xfId="0" applyNumberFormat="1" applyFont="1" applyBorder="1" applyAlignment="1">
      <alignment horizontal="center" vertical="center"/>
    </xf>
    <xf numFmtId="10" fontId="29" fillId="0" borderId="49" xfId="67" applyNumberFormat="1" applyFont="1" applyBorder="1" applyAlignment="1">
      <alignment horizontal="center" vertical="center"/>
    </xf>
    <xf numFmtId="37" fontId="28" fillId="18" borderId="75" xfId="0" applyFont="1" applyFill="1" applyBorder="1" applyAlignment="1">
      <alignment horizontal="left" vertical="center" indent="1"/>
    </xf>
    <xf numFmtId="37" fontId="35" fillId="17" borderId="76" xfId="0" applyFont="1" applyFill="1" applyBorder="1" applyAlignment="1">
      <alignment horizontal="left" vertical="center" indent="1"/>
    </xf>
    <xf numFmtId="37" fontId="27" fillId="57" borderId="12" xfId="0" applyFont="1" applyFill="1" applyBorder="1" applyAlignment="1">
      <alignment horizontal="right" vertical="center" indent="1"/>
    </xf>
    <xf numFmtId="37" fontId="27" fillId="56" borderId="77" xfId="0" applyFont="1" applyFill="1" applyBorder="1" applyAlignment="1">
      <alignment vertical="center"/>
    </xf>
    <xf numFmtId="4" fontId="27" fillId="56" borderId="69" xfId="0" applyNumberFormat="1" applyFont="1" applyFill="1" applyBorder="1" applyAlignment="1">
      <alignment horizontal="right" vertical="center"/>
    </xf>
    <xf numFmtId="37" fontId="27" fillId="56" borderId="78" xfId="0" applyFont="1" applyFill="1" applyBorder="1" applyAlignment="1">
      <alignment vertical="center"/>
    </xf>
    <xf numFmtId="37" fontId="2" fillId="0" borderId="48" xfId="0" applyFont="1" applyBorder="1"/>
    <xf numFmtId="37" fontId="27" fillId="58" borderId="77" xfId="0" applyFont="1" applyFill="1" applyBorder="1" applyAlignment="1">
      <alignment vertical="center"/>
    </xf>
    <xf numFmtId="4" fontId="27" fillId="58" borderId="69" xfId="0" applyNumberFormat="1" applyFont="1" applyFill="1" applyBorder="1" applyAlignment="1">
      <alignment horizontal="right" vertical="center"/>
    </xf>
    <xf numFmtId="37" fontId="27" fillId="58" borderId="79" xfId="0" applyFont="1" applyFill="1" applyBorder="1" applyAlignment="1">
      <alignment vertical="center"/>
    </xf>
    <xf numFmtId="37" fontId="27" fillId="58" borderId="80" xfId="0" applyFont="1" applyFill="1" applyBorder="1" applyAlignment="1">
      <alignment vertical="center"/>
    </xf>
    <xf numFmtId="4" fontId="27" fillId="58" borderId="81" xfId="0" applyNumberFormat="1" applyFont="1" applyFill="1" applyBorder="1" applyAlignment="1">
      <alignment horizontal="right" vertical="center"/>
    </xf>
    <xf numFmtId="37" fontId="27" fillId="0" borderId="82" xfId="0" applyFont="1" applyBorder="1" applyAlignment="1">
      <alignment vertical="center"/>
    </xf>
    <xf numFmtId="4" fontId="27" fillId="0" borderId="81" xfId="0" applyNumberFormat="1" applyFont="1" applyBorder="1" applyAlignment="1">
      <alignment horizontal="right" vertical="center"/>
    </xf>
    <xf numFmtId="37" fontId="27" fillId="0" borderId="80" xfId="0" applyFont="1" applyBorder="1" applyAlignment="1">
      <alignment vertical="center"/>
    </xf>
    <xf numFmtId="177" fontId="27" fillId="0" borderId="81" xfId="67" applyNumberFormat="1" applyFont="1" applyBorder="1" applyAlignment="1">
      <alignment horizontal="right" vertical="center"/>
    </xf>
    <xf numFmtId="0" fontId="64" fillId="54" borderId="0" xfId="0" applyNumberFormat="1" applyFont="1" applyFill="1"/>
    <xf numFmtId="0" fontId="64" fillId="0" borderId="0" xfId="0" applyNumberFormat="1" applyFont="1"/>
    <xf numFmtId="37" fontId="29" fillId="0" borderId="0" xfId="0" applyFont="1" applyBorder="1" applyAlignment="1">
      <alignment horizontal="center" vertical="center"/>
    </xf>
    <xf numFmtId="39" fontId="27" fillId="0" borderId="0" xfId="0" applyNumberFormat="1" applyFont="1" applyAlignment="1">
      <alignment horizontal="center" vertical="center"/>
    </xf>
    <xf numFmtId="37" fontId="27" fillId="0" borderId="67" xfId="0" applyFont="1" applyBorder="1" applyAlignment="1">
      <alignment horizontal="center" vertical="center" wrapText="1"/>
    </xf>
    <xf numFmtId="164" fontId="27" fillId="0" borderId="63" xfId="86" applyFont="1" applyBorder="1" applyAlignment="1">
      <alignment horizontal="right" vertical="center"/>
    </xf>
    <xf numFmtId="164" fontId="27" fillId="0" borderId="83" xfId="86" applyFont="1" applyBorder="1" applyAlignment="1">
      <alignment horizontal="right" vertical="center"/>
    </xf>
    <xf numFmtId="164" fontId="27" fillId="0" borderId="84" xfId="86" applyFont="1" applyBorder="1" applyAlignment="1">
      <alignment horizontal="right" vertical="center"/>
    </xf>
    <xf numFmtId="164" fontId="27" fillId="56" borderId="18" xfId="86" applyFont="1" applyFill="1" applyBorder="1" applyAlignment="1">
      <alignment horizontal="right" vertical="center"/>
    </xf>
    <xf numFmtId="164" fontId="27" fillId="56" borderId="18" xfId="86" applyFont="1" applyFill="1" applyBorder="1" applyAlignment="1">
      <alignment vertical="center"/>
    </xf>
    <xf numFmtId="164" fontId="27" fillId="56" borderId="85" xfId="86" applyFont="1" applyFill="1" applyBorder="1" applyAlignment="1">
      <alignment horizontal="right" vertical="center"/>
    </xf>
    <xf numFmtId="164" fontId="27" fillId="56" borderId="12" xfId="86" applyFont="1" applyFill="1" applyBorder="1" applyAlignment="1">
      <alignment horizontal="right" vertical="center"/>
    </xf>
    <xf numFmtId="164" fontId="27" fillId="56" borderId="12" xfId="86" applyFont="1" applyFill="1" applyBorder="1" applyAlignment="1">
      <alignment vertical="center"/>
    </xf>
    <xf numFmtId="164" fontId="27" fillId="56" borderId="83" xfId="86" applyFont="1" applyFill="1" applyBorder="1" applyAlignment="1">
      <alignment horizontal="right" vertical="center"/>
    </xf>
    <xf numFmtId="187" fontId="4" fillId="0" borderId="58" xfId="0" applyNumberFormat="1" applyFont="1" applyFill="1" applyBorder="1"/>
    <xf numFmtId="37" fontId="0" fillId="56" borderId="86" xfId="0" applyFill="1" applyBorder="1" applyAlignment="1">
      <alignment horizontal="center"/>
    </xf>
    <xf numFmtId="37" fontId="28" fillId="56" borderId="56" xfId="0" applyNumberFormat="1" applyFont="1" applyFill="1" applyBorder="1" applyAlignment="1">
      <alignment horizontal="center" vertical="center"/>
    </xf>
    <xf numFmtId="167" fontId="29" fillId="0" borderId="15" xfId="86" applyNumberFormat="1" applyFont="1" applyBorder="1" applyAlignment="1">
      <alignment horizontal="left" vertical="center"/>
    </xf>
    <xf numFmtId="167" fontId="29" fillId="0" borderId="69" xfId="86" applyNumberFormat="1" applyFont="1" applyBorder="1" applyAlignment="1">
      <alignment horizontal="left" vertical="center"/>
    </xf>
    <xf numFmtId="167" fontId="29" fillId="0" borderId="12" xfId="86" applyNumberFormat="1" applyFont="1" applyBorder="1" applyAlignment="1">
      <alignment horizontal="left" vertical="center"/>
    </xf>
    <xf numFmtId="167" fontId="29" fillId="0" borderId="63" xfId="86" applyNumberFormat="1" applyFont="1" applyBorder="1" applyAlignment="1">
      <alignment horizontal="left" vertical="center"/>
    </xf>
    <xf numFmtId="167" fontId="29" fillId="0" borderId="35" xfId="86" applyNumberFormat="1" applyFont="1" applyBorder="1" applyAlignment="1">
      <alignment horizontal="left" vertical="center"/>
    </xf>
    <xf numFmtId="167" fontId="29" fillId="0" borderId="65" xfId="86" applyNumberFormat="1" applyFont="1" applyBorder="1" applyAlignment="1">
      <alignment horizontal="left" vertical="center"/>
    </xf>
    <xf numFmtId="167" fontId="27" fillId="0" borderId="87" xfId="0" applyNumberFormat="1" applyFont="1" applyBorder="1" applyAlignment="1">
      <alignment horizontal="left" vertical="center"/>
    </xf>
    <xf numFmtId="167" fontId="27" fillId="0" borderId="74" xfId="0" applyNumberFormat="1" applyFont="1" applyBorder="1" applyAlignment="1">
      <alignment horizontal="left" vertical="center"/>
    </xf>
    <xf numFmtId="167" fontId="27" fillId="0" borderId="35" xfId="0" applyNumberFormat="1" applyFont="1" applyBorder="1" applyAlignment="1">
      <alignment horizontal="left" vertical="center"/>
    </xf>
    <xf numFmtId="167" fontId="27" fillId="0" borderId="65" xfId="0" applyNumberFormat="1" applyFont="1" applyBorder="1" applyAlignment="1">
      <alignment horizontal="left" vertical="center"/>
    </xf>
    <xf numFmtId="37" fontId="34" fillId="22" borderId="11" xfId="0" applyFont="1" applyFill="1" applyBorder="1" applyAlignment="1">
      <alignment horizontal="center" vertical="center"/>
    </xf>
    <xf numFmtId="178" fontId="0" fillId="54" borderId="0" xfId="0" applyNumberFormat="1" applyFill="1" applyBorder="1"/>
    <xf numFmtId="167" fontId="29" fillId="59" borderId="28" xfId="86" applyNumberFormat="1" applyFont="1" applyFill="1" applyBorder="1" applyAlignment="1">
      <alignment horizontal="right" vertical="center"/>
    </xf>
    <xf numFmtId="167" fontId="29" fillId="59" borderId="12" xfId="86" applyNumberFormat="1" applyFont="1" applyFill="1" applyBorder="1" applyAlignment="1">
      <alignment horizontal="right" vertical="center"/>
    </xf>
    <xf numFmtId="167" fontId="29" fillId="59" borderId="29" xfId="86" applyNumberFormat="1" applyFont="1" applyFill="1" applyBorder="1" applyAlignment="1">
      <alignment horizontal="right" vertical="center"/>
    </xf>
    <xf numFmtId="167" fontId="29" fillId="59" borderId="10" xfId="86" applyNumberFormat="1" applyFont="1" applyFill="1" applyBorder="1" applyAlignment="1">
      <alignment horizontal="right" vertical="center"/>
    </xf>
    <xf numFmtId="184" fontId="29" fillId="59" borderId="31" xfId="86" applyNumberFormat="1" applyFont="1" applyFill="1" applyBorder="1" applyAlignment="1">
      <alignment horizontal="right" vertical="center"/>
    </xf>
    <xf numFmtId="37" fontId="34" fillId="22" borderId="88" xfId="0" applyFont="1" applyFill="1" applyBorder="1" applyAlignment="1">
      <alignment horizontal="center" vertical="center"/>
    </xf>
    <xf numFmtId="37" fontId="34" fillId="22" borderId="29" xfId="0" applyFont="1" applyFill="1" applyBorder="1" applyAlignment="1">
      <alignment horizontal="center" vertical="center"/>
    </xf>
    <xf numFmtId="37" fontId="30" fillId="0" borderId="89" xfId="0" applyFont="1" applyBorder="1" applyAlignment="1">
      <alignment horizontal="center" vertical="center"/>
    </xf>
    <xf numFmtId="37" fontId="30" fillId="0" borderId="79" xfId="0" applyFont="1" applyBorder="1" applyAlignment="1">
      <alignment horizontal="center" vertical="center"/>
    </xf>
    <xf numFmtId="37" fontId="30" fillId="0" borderId="90" xfId="0" applyFont="1" applyBorder="1" applyAlignment="1">
      <alignment horizontal="center" vertical="center"/>
    </xf>
    <xf numFmtId="171" fontId="27" fillId="0" borderId="77" xfId="0" applyNumberFormat="1" applyFont="1" applyBorder="1" applyAlignment="1">
      <alignment vertical="center"/>
    </xf>
    <xf numFmtId="164" fontId="32" fillId="0" borderId="0" xfId="86" applyFont="1" applyBorder="1" applyAlignment="1">
      <alignment vertical="center"/>
    </xf>
    <xf numFmtId="37" fontId="27" fillId="0" borderId="79" xfId="0" applyFont="1" applyBorder="1" applyAlignment="1">
      <alignment vertical="center"/>
    </xf>
    <xf numFmtId="37" fontId="27" fillId="0" borderId="90" xfId="0" applyFont="1" applyBorder="1" applyAlignment="1">
      <alignment vertical="center"/>
    </xf>
    <xf numFmtId="37" fontId="27" fillId="0" borderId="77" xfId="0" applyFont="1" applyBorder="1" applyAlignment="1">
      <alignment vertical="center"/>
    </xf>
    <xf numFmtId="37" fontId="27" fillId="0" borderId="91" xfId="0" applyFont="1" applyBorder="1" applyAlignment="1">
      <alignment vertical="center"/>
    </xf>
    <xf numFmtId="37" fontId="27" fillId="0" borderId="79" xfId="0" quotePrefix="1" applyFont="1" applyBorder="1" applyAlignment="1">
      <alignment vertical="center"/>
    </xf>
    <xf numFmtId="37" fontId="29" fillId="0" borderId="86" xfId="0" applyFont="1" applyFill="1" applyBorder="1" applyAlignment="1">
      <alignment vertical="center"/>
    </xf>
    <xf numFmtId="166" fontId="29" fillId="0" borderId="54" xfId="0" applyNumberFormat="1" applyFont="1" applyFill="1" applyBorder="1" applyAlignment="1">
      <alignment vertical="center"/>
    </xf>
    <xf numFmtId="37" fontId="27" fillId="0" borderId="78" xfId="0" applyFont="1" applyBorder="1" applyAlignment="1">
      <alignment vertical="center"/>
    </xf>
    <xf numFmtId="37" fontId="32" fillId="56" borderId="50" xfId="0" applyFont="1" applyFill="1" applyBorder="1" applyAlignment="1">
      <alignment vertical="center"/>
    </xf>
    <xf numFmtId="175" fontId="65" fillId="56" borderId="51" xfId="86" applyNumberFormat="1" applyFont="1" applyFill="1" applyBorder="1" applyAlignment="1">
      <alignment horizontal="right" vertical="center"/>
    </xf>
    <xf numFmtId="171" fontId="27" fillId="0" borderId="92" xfId="0" applyNumberFormat="1" applyFont="1" applyBorder="1" applyAlignment="1">
      <alignment vertical="center"/>
    </xf>
    <xf numFmtId="37" fontId="27" fillId="0" borderId="57" xfId="0" applyFont="1" applyBorder="1" applyAlignment="1">
      <alignment vertical="center"/>
    </xf>
    <xf numFmtId="37" fontId="27" fillId="0" borderId="93" xfId="0" applyFont="1" applyBorder="1" applyAlignment="1">
      <alignment vertical="center"/>
    </xf>
    <xf numFmtId="4" fontId="29" fillId="54" borderId="69" xfId="86" applyNumberFormat="1" applyFont="1" applyFill="1" applyBorder="1" applyAlignment="1">
      <alignment horizontal="center" vertical="center"/>
    </xf>
    <xf numFmtId="4" fontId="29" fillId="0" borderId="69" xfId="86" applyNumberFormat="1" applyFont="1" applyBorder="1" applyAlignment="1">
      <alignment horizontal="center" vertical="center"/>
    </xf>
    <xf numFmtId="4" fontId="29" fillId="0" borderId="63" xfId="86" applyNumberFormat="1" applyFont="1" applyBorder="1" applyAlignment="1">
      <alignment horizontal="center" vertical="center"/>
    </xf>
    <xf numFmtId="185" fontId="29" fillId="0" borderId="52" xfId="86" applyNumberFormat="1" applyFont="1" applyBorder="1" applyAlignment="1">
      <alignment horizontal="center" vertical="center"/>
    </xf>
    <xf numFmtId="3" fontId="29" fillId="0" borderId="94" xfId="0" applyNumberFormat="1" applyFont="1" applyBorder="1" applyAlignment="1">
      <alignment horizontal="center" vertical="center"/>
    </xf>
    <xf numFmtId="4" fontId="29" fillId="0" borderId="69" xfId="0" applyNumberFormat="1" applyFont="1" applyBorder="1" applyAlignment="1">
      <alignment horizontal="center" vertical="center"/>
    </xf>
    <xf numFmtId="4" fontId="29" fillId="0" borderId="63" xfId="0" applyNumberFormat="1" applyFont="1" applyBorder="1" applyAlignment="1">
      <alignment horizontal="center" vertical="center"/>
    </xf>
    <xf numFmtId="3" fontId="29" fillId="0" borderId="65" xfId="0" applyNumberFormat="1" applyFont="1" applyBorder="1" applyAlignment="1">
      <alignment horizontal="center" vertical="center"/>
    </xf>
    <xf numFmtId="39" fontId="0" fillId="0" borderId="95" xfId="0" applyNumberFormat="1" applyBorder="1" applyAlignment="1">
      <alignment horizontal="center"/>
    </xf>
    <xf numFmtId="182" fontId="0" fillId="0" borderId="58" xfId="0" applyNumberFormat="1" applyBorder="1" applyAlignment="1">
      <alignment horizontal="center"/>
    </xf>
    <xf numFmtId="4" fontId="29" fillId="0" borderId="96" xfId="86" applyNumberFormat="1" applyFont="1" applyBorder="1" applyAlignment="1">
      <alignment horizontal="center" vertical="center"/>
    </xf>
    <xf numFmtId="4" fontId="29" fillId="0" borderId="52" xfId="86" applyNumberFormat="1" applyFont="1" applyBorder="1" applyAlignment="1">
      <alignment horizontal="center" vertical="center"/>
    </xf>
    <xf numFmtId="39" fontId="27" fillId="0" borderId="97" xfId="0" applyNumberFormat="1" applyFont="1" applyBorder="1" applyAlignment="1">
      <alignment vertical="center"/>
    </xf>
    <xf numFmtId="37" fontId="27" fillId="58" borderId="63" xfId="0" applyFont="1" applyFill="1" applyBorder="1" applyAlignment="1">
      <alignment vertical="center"/>
    </xf>
    <xf numFmtId="39" fontId="27" fillId="58" borderId="63" xfId="0" applyNumberFormat="1" applyFont="1" applyFill="1" applyBorder="1" applyAlignment="1">
      <alignment vertical="center"/>
    </xf>
    <xf numFmtId="39" fontId="27" fillId="58" borderId="84" xfId="0" applyNumberFormat="1" applyFont="1" applyFill="1" applyBorder="1" applyAlignment="1">
      <alignment vertical="center"/>
    </xf>
    <xf numFmtId="37" fontId="34" fillId="0" borderId="68" xfId="0" applyFont="1" applyFill="1" applyBorder="1" applyAlignment="1">
      <alignment horizontal="left" vertical="center" indent="1"/>
    </xf>
    <xf numFmtId="169" fontId="30" fillId="0" borderId="17" xfId="0" applyNumberFormat="1" applyFont="1" applyFill="1" applyBorder="1" applyAlignment="1">
      <alignment vertical="center"/>
    </xf>
    <xf numFmtId="169" fontId="27" fillId="0" borderId="15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30" fillId="0" borderId="33" xfId="0" applyNumberFormat="1" applyFont="1" applyFill="1" applyBorder="1" applyAlignment="1">
      <alignment horizontal="center" vertical="center"/>
    </xf>
    <xf numFmtId="169" fontId="30" fillId="0" borderId="17" xfId="0" applyNumberFormat="1" applyFont="1" applyFill="1" applyBorder="1" applyAlignment="1">
      <alignment horizontal="center" vertical="center"/>
    </xf>
    <xf numFmtId="169" fontId="29" fillId="0" borderId="33" xfId="0" applyNumberFormat="1" applyFont="1" applyFill="1" applyBorder="1" applyAlignment="1">
      <alignment horizontal="center" vertical="center"/>
    </xf>
    <xf numFmtId="10" fontId="29" fillId="0" borderId="69" xfId="67" applyNumberFormat="1" applyFont="1" applyFill="1" applyBorder="1" applyAlignment="1">
      <alignment horizontal="right" vertical="center"/>
    </xf>
    <xf numFmtId="169" fontId="28" fillId="0" borderId="0" xfId="86" applyNumberFormat="1" applyFont="1" applyFill="1"/>
    <xf numFmtId="37" fontId="7" fillId="0" borderId="0" xfId="0" applyFont="1" applyFill="1"/>
    <xf numFmtId="174" fontId="7" fillId="0" borderId="0" xfId="0" applyNumberFormat="1" applyFont="1" applyFill="1"/>
    <xf numFmtId="37" fontId="28" fillId="0" borderId="0" xfId="0" applyFont="1" applyFill="1"/>
    <xf numFmtId="174" fontId="37" fillId="0" borderId="0" xfId="0" applyNumberFormat="1" applyFont="1" applyAlignment="1">
      <alignment horizontal="center"/>
    </xf>
    <xf numFmtId="10" fontId="12" fillId="0" borderId="0" xfId="67" applyNumberFormat="1" applyFont="1" applyAlignment="1">
      <alignment horizontal="center"/>
    </xf>
    <xf numFmtId="37" fontId="12" fillId="22" borderId="0" xfId="0" applyFont="1" applyFill="1" applyAlignment="1">
      <alignment horizontal="center"/>
    </xf>
    <xf numFmtId="37" fontId="32" fillId="18" borderId="0" xfId="0" applyFont="1" applyFill="1" applyAlignment="1">
      <alignment horizontal="left" vertical="center" indent="1"/>
    </xf>
    <xf numFmtId="37" fontId="34" fillId="0" borderId="98" xfId="0" applyFont="1" applyBorder="1" applyAlignment="1">
      <alignment horizontal="left" vertical="center" indent="1"/>
    </xf>
    <xf numFmtId="10" fontId="12" fillId="0" borderId="98" xfId="67" applyNumberFormat="1" applyFont="1" applyBorder="1" applyAlignment="1">
      <alignment horizontal="center"/>
    </xf>
    <xf numFmtId="174" fontId="12" fillId="0" borderId="98" xfId="0" applyNumberFormat="1" applyFont="1" applyBorder="1" applyAlignment="1">
      <alignment horizontal="center"/>
    </xf>
    <xf numFmtId="176" fontId="12" fillId="0" borderId="98" xfId="60" applyNumberFormat="1" applyFont="1" applyBorder="1"/>
    <xf numFmtId="37" fontId="34" fillId="0" borderId="98" xfId="0" quotePrefix="1" applyFont="1" applyBorder="1" applyAlignment="1">
      <alignment horizontal="left" vertical="center" indent="1"/>
    </xf>
    <xf numFmtId="37" fontId="36" fillId="20" borderId="0" xfId="0" applyFont="1" applyFill="1" applyAlignment="1">
      <alignment vertical="center"/>
    </xf>
    <xf numFmtId="10" fontId="12" fillId="20" borderId="98" xfId="67" applyNumberFormat="1" applyFont="1" applyFill="1" applyBorder="1" applyAlignment="1">
      <alignment horizontal="center"/>
    </xf>
    <xf numFmtId="174" fontId="12" fillId="20" borderId="98" xfId="0" applyNumberFormat="1" applyFont="1" applyFill="1" applyBorder="1" applyAlignment="1">
      <alignment horizontal="center"/>
    </xf>
    <xf numFmtId="176" fontId="12" fillId="20" borderId="98" xfId="60" applyNumberFormat="1" applyFont="1" applyFill="1" applyBorder="1"/>
    <xf numFmtId="174" fontId="12" fillId="0" borderId="0" xfId="0" applyNumberFormat="1" applyFont="1" applyAlignment="1">
      <alignment horizontal="center"/>
    </xf>
    <xf numFmtId="176" fontId="12" fillId="0" borderId="0" xfId="60" applyNumberFormat="1" applyFont="1"/>
    <xf numFmtId="37" fontId="12" fillId="0" borderId="0" xfId="0" applyFont="1"/>
    <xf numFmtId="37" fontId="26" fillId="0" borderId="0" xfId="0" applyFont="1"/>
    <xf numFmtId="37" fontId="34" fillId="0" borderId="99" xfId="0" applyFont="1" applyBorder="1" applyAlignment="1">
      <alignment horizontal="left" vertical="center" indent="1"/>
    </xf>
    <xf numFmtId="10" fontId="12" fillId="0" borderId="99" xfId="67" applyNumberFormat="1" applyFont="1" applyBorder="1" applyAlignment="1">
      <alignment horizontal="center"/>
    </xf>
    <xf numFmtId="174" fontId="12" fillId="0" borderId="99" xfId="0" applyNumberFormat="1" applyFont="1" applyBorder="1" applyAlignment="1">
      <alignment horizontal="center"/>
    </xf>
    <xf numFmtId="176" fontId="12" fillId="0" borderId="99" xfId="60" applyNumberFormat="1" applyFont="1" applyBorder="1"/>
    <xf numFmtId="37" fontId="34" fillId="0" borderId="99" xfId="0" quotePrefix="1" applyFont="1" applyBorder="1" applyAlignment="1">
      <alignment horizontal="left" vertical="center" indent="1"/>
    </xf>
    <xf numFmtId="176" fontId="37" fillId="0" borderId="0" xfId="60" applyNumberFormat="1" applyFont="1" applyAlignment="1">
      <alignment horizontal="center"/>
    </xf>
    <xf numFmtId="37" fontId="29" fillId="19" borderId="99" xfId="0" applyFont="1" applyFill="1" applyBorder="1" applyAlignment="1">
      <alignment horizontal="left" vertical="center" indent="1"/>
    </xf>
    <xf numFmtId="37" fontId="28" fillId="19" borderId="99" xfId="0" applyFont="1" applyFill="1" applyBorder="1" applyAlignment="1">
      <alignment horizontal="left" vertical="center" indent="1"/>
    </xf>
    <xf numFmtId="37" fontId="34" fillId="0" borderId="0" xfId="0" applyFont="1" applyAlignment="1">
      <alignment horizontal="left" vertical="center" indent="2"/>
    </xf>
    <xf numFmtId="37" fontId="13" fillId="0" borderId="0" xfId="0" applyFont="1" applyAlignment="1">
      <alignment horizontal="center"/>
    </xf>
    <xf numFmtId="176" fontId="12" fillId="0" borderId="0" xfId="0" applyNumberFormat="1" applyFont="1" applyAlignment="1">
      <alignment horizontal="center"/>
    </xf>
    <xf numFmtId="188" fontId="39" fillId="17" borderId="56" xfId="60" applyNumberFormat="1" applyFont="1" applyFill="1" applyBorder="1" applyAlignment="1">
      <alignment vertical="center"/>
    </xf>
    <xf numFmtId="174" fontId="37" fillId="0" borderId="100" xfId="0" applyNumberFormat="1" applyFont="1" applyBorder="1" applyAlignment="1">
      <alignment horizontal="center"/>
    </xf>
    <xf numFmtId="10" fontId="12" fillId="0" borderId="100" xfId="67" applyNumberFormat="1" applyFont="1" applyBorder="1" applyAlignment="1">
      <alignment horizontal="center"/>
    </xf>
    <xf numFmtId="174" fontId="12" fillId="60" borderId="100" xfId="0" applyNumberFormat="1" applyFont="1" applyFill="1" applyBorder="1" applyAlignment="1">
      <alignment horizontal="center"/>
    </xf>
    <xf numFmtId="37" fontId="12" fillId="60" borderId="101" xfId="0" applyFont="1" applyFill="1" applyBorder="1" applyAlignment="1">
      <alignment horizontal="center"/>
    </xf>
    <xf numFmtId="187" fontId="37" fillId="0" borderId="98" xfId="0" applyNumberFormat="1" applyFont="1" applyBorder="1" applyAlignment="1">
      <alignment horizontal="center"/>
    </xf>
    <xf numFmtId="187" fontId="37" fillId="20" borderId="98" xfId="0" applyNumberFormat="1" applyFont="1" applyFill="1" applyBorder="1" applyAlignment="1">
      <alignment horizontal="center"/>
    </xf>
    <xf numFmtId="187" fontId="37" fillId="0" borderId="99" xfId="0" applyNumberFormat="1" applyFont="1" applyBorder="1" applyAlignment="1">
      <alignment horizontal="center"/>
    </xf>
    <xf numFmtId="37" fontId="34" fillId="0" borderId="102" xfId="0" applyFont="1" applyBorder="1" applyAlignment="1">
      <alignment horizontal="center" vertical="center"/>
    </xf>
    <xf numFmtId="3" fontId="28" fillId="0" borderId="43" xfId="86" applyNumberFormat="1" applyFont="1" applyBorder="1" applyAlignment="1">
      <alignment vertical="center"/>
    </xf>
    <xf numFmtId="3" fontId="28" fillId="0" borderId="103" xfId="86" applyNumberFormat="1" applyFont="1" applyBorder="1" applyAlignment="1">
      <alignment vertical="center"/>
    </xf>
    <xf numFmtId="37" fontId="36" fillId="0" borderId="55" xfId="0" applyFont="1" applyBorder="1" applyAlignment="1">
      <alignment horizontal="center" vertical="center"/>
    </xf>
    <xf numFmtId="180" fontId="42" fillId="0" borderId="56" xfId="0" applyNumberFormat="1" applyFont="1" applyBorder="1" applyAlignment="1">
      <alignment horizontal="center" vertical="center"/>
    </xf>
    <xf numFmtId="9" fontId="26" fillId="0" borderId="104" xfId="67" applyFont="1" applyBorder="1" applyAlignment="1">
      <alignment horizontal="center" vertical="center"/>
    </xf>
    <xf numFmtId="176" fontId="26" fillId="0" borderId="104" xfId="0" applyNumberFormat="1" applyFont="1" applyBorder="1" applyAlignment="1">
      <alignment horizontal="center" vertical="center"/>
    </xf>
    <xf numFmtId="176" fontId="26" fillId="0" borderId="104" xfId="60" applyNumberFormat="1" applyFont="1" applyBorder="1" applyAlignment="1">
      <alignment horizontal="center" vertical="center"/>
    </xf>
    <xf numFmtId="37" fontId="2" fillId="0" borderId="23" xfId="0" applyFont="1" applyBorder="1"/>
    <xf numFmtId="0" fontId="27" fillId="0" borderId="68" xfId="0" applyNumberFormat="1" applyFont="1" applyBorder="1" applyAlignment="1">
      <alignment horizontal="center" vertical="center"/>
    </xf>
    <xf numFmtId="0" fontId="27" fillId="0" borderId="68" xfId="0" applyNumberFormat="1" applyFont="1" applyFill="1" applyBorder="1" applyAlignment="1">
      <alignment horizontal="center" vertical="center"/>
    </xf>
    <xf numFmtId="37" fontId="31" fillId="0" borderId="69" xfId="0" applyFont="1" applyFill="1" applyBorder="1" applyAlignment="1">
      <alignment horizontal="right" vertical="center" indent="1"/>
    </xf>
    <xf numFmtId="37" fontId="27" fillId="0" borderId="48" xfId="0" applyFont="1" applyBorder="1" applyAlignment="1">
      <alignment horizontal="center" vertical="center"/>
    </xf>
    <xf numFmtId="37" fontId="31" fillId="0" borderId="72" xfId="0" applyFont="1" applyBorder="1" applyAlignment="1">
      <alignment horizontal="right" vertical="center" indent="1"/>
    </xf>
    <xf numFmtId="37" fontId="2" fillId="0" borderId="66" xfId="0" applyFont="1" applyBorder="1"/>
    <xf numFmtId="37" fontId="2" fillId="0" borderId="73" xfId="0" applyFont="1" applyBorder="1"/>
    <xf numFmtId="37" fontId="2" fillId="0" borderId="0" xfId="0" applyFont="1" applyBorder="1" applyAlignment="1">
      <alignment horizontal="center" vertical="center"/>
    </xf>
    <xf numFmtId="37" fontId="2" fillId="0" borderId="49" xfId="0" applyFont="1" applyBorder="1" applyAlignment="1">
      <alignment horizontal="center" vertical="center"/>
    </xf>
    <xf numFmtId="37" fontId="27" fillId="17" borderId="105" xfId="0" applyFont="1" applyFill="1" applyBorder="1" applyAlignment="1">
      <alignment horizontal="center" vertical="center"/>
    </xf>
    <xf numFmtId="37" fontId="31" fillId="17" borderId="94" xfId="0" applyFont="1" applyFill="1" applyBorder="1" applyAlignment="1">
      <alignment horizontal="right" vertical="center" indent="1"/>
    </xf>
    <xf numFmtId="37" fontId="27" fillId="0" borderId="48" xfId="0" applyFont="1" applyBorder="1" applyAlignment="1">
      <alignment vertical="center"/>
    </xf>
    <xf numFmtId="37" fontId="31" fillId="0" borderId="0" xfId="0" applyFont="1" applyBorder="1" applyAlignment="1">
      <alignment horizontal="right" vertical="center" indent="1"/>
    </xf>
    <xf numFmtId="37" fontId="31" fillId="0" borderId="49" xfId="0" applyFont="1" applyBorder="1" applyAlignment="1">
      <alignment horizontal="right" vertical="center" indent="1"/>
    </xf>
    <xf numFmtId="0" fontId="27" fillId="56" borderId="105" xfId="0" applyNumberFormat="1" applyFont="1" applyFill="1" applyBorder="1" applyAlignment="1">
      <alignment horizontal="center" vertical="center"/>
    </xf>
    <xf numFmtId="39" fontId="29" fillId="56" borderId="106" xfId="0" applyNumberFormat="1" applyFont="1" applyFill="1" applyBorder="1" applyAlignment="1">
      <alignment horizontal="right" vertical="center" indent="1"/>
    </xf>
    <xf numFmtId="10" fontId="4" fillId="0" borderId="106" xfId="67" applyNumberFormat="1" applyFont="1" applyBorder="1" applyAlignment="1">
      <alignment horizontal="center" vertical="center"/>
    </xf>
    <xf numFmtId="37" fontId="4" fillId="0" borderId="53" xfId="0" applyFont="1" applyBorder="1"/>
    <xf numFmtId="37" fontId="4" fillId="0" borderId="54" xfId="0" applyFont="1" applyBorder="1"/>
    <xf numFmtId="37" fontId="43" fillId="0" borderId="54" xfId="0" applyFont="1" applyBorder="1"/>
    <xf numFmtId="37" fontId="4" fillId="0" borderId="107" xfId="0" applyFont="1" applyBorder="1"/>
    <xf numFmtId="37" fontId="31" fillId="0" borderId="55" xfId="0" applyFont="1" applyBorder="1" applyAlignment="1">
      <alignment horizontal="center" vertical="center"/>
    </xf>
    <xf numFmtId="37" fontId="31" fillId="0" borderId="108" xfId="0" applyFont="1" applyBorder="1" applyAlignment="1">
      <alignment horizontal="center" vertical="center"/>
    </xf>
    <xf numFmtId="37" fontId="31" fillId="0" borderId="109" xfId="0" applyFont="1" applyBorder="1" applyAlignment="1">
      <alignment horizontal="center" vertical="center"/>
    </xf>
    <xf numFmtId="37" fontId="31" fillId="0" borderId="51" xfId="0" applyFont="1" applyBorder="1" applyAlignment="1">
      <alignment horizontal="center" vertical="center"/>
    </xf>
    <xf numFmtId="37" fontId="27" fillId="57" borderId="15" xfId="0" applyFont="1" applyFill="1" applyBorder="1" applyAlignment="1">
      <alignment horizontal="right" vertical="center" indent="1"/>
    </xf>
    <xf numFmtId="37" fontId="31" fillId="57" borderId="69" xfId="0" applyFont="1" applyFill="1" applyBorder="1" applyAlignment="1">
      <alignment horizontal="right" vertical="center" indent="1"/>
    </xf>
    <xf numFmtId="167" fontId="29" fillId="59" borderId="15" xfId="86" applyNumberFormat="1" applyFont="1" applyFill="1" applyBorder="1" applyAlignment="1">
      <alignment horizontal="right" vertical="center"/>
    </xf>
    <xf numFmtId="37" fontId="31" fillId="56" borderId="48" xfId="0" applyFont="1" applyFill="1" applyBorder="1" applyAlignment="1">
      <alignment horizontal="center" vertical="center" wrapText="1"/>
    </xf>
    <xf numFmtId="188" fontId="39" fillId="17" borderId="55" xfId="60" applyNumberFormat="1" applyFont="1" applyFill="1" applyBorder="1" applyAlignment="1">
      <alignment vertical="center"/>
    </xf>
    <xf numFmtId="37" fontId="0" fillId="0" borderId="115" xfId="0" applyBorder="1" applyAlignment="1">
      <alignment horizontal="center"/>
    </xf>
    <xf numFmtId="37" fontId="36" fillId="0" borderId="0" xfId="0" applyFont="1" applyAlignment="1">
      <alignment horizontal="center" vertical="center"/>
    </xf>
    <xf numFmtId="37" fontId="35" fillId="56" borderId="116" xfId="0" applyFont="1" applyFill="1" applyBorder="1" applyAlignment="1">
      <alignment horizontal="center" vertical="center" wrapText="1"/>
    </xf>
    <xf numFmtId="37" fontId="35" fillId="56" borderId="117" xfId="0" applyFont="1" applyFill="1" applyBorder="1" applyAlignment="1">
      <alignment horizontal="center" vertical="center" wrapText="1"/>
    </xf>
    <xf numFmtId="37" fontId="35" fillId="56" borderId="48" xfId="0" applyFont="1" applyFill="1" applyBorder="1" applyAlignment="1">
      <alignment horizontal="center" vertical="center" wrapText="1"/>
    </xf>
    <xf numFmtId="37" fontId="35" fillId="56" borderId="49" xfId="0" applyFont="1" applyFill="1" applyBorder="1" applyAlignment="1">
      <alignment horizontal="center" vertical="center" wrapText="1"/>
    </xf>
    <xf numFmtId="37" fontId="31" fillId="56" borderId="116" xfId="0" applyFont="1" applyFill="1" applyBorder="1" applyAlignment="1">
      <alignment horizontal="center" vertical="center" wrapText="1"/>
    </xf>
    <xf numFmtId="37" fontId="31" fillId="56" borderId="117" xfId="0" applyFont="1" applyFill="1" applyBorder="1" applyAlignment="1">
      <alignment horizontal="center" vertical="center" wrapText="1"/>
    </xf>
    <xf numFmtId="37" fontId="29" fillId="56" borderId="55" xfId="0" applyFont="1" applyFill="1" applyBorder="1" applyAlignment="1">
      <alignment horizontal="left" vertical="center"/>
    </xf>
    <xf numFmtId="37" fontId="29" fillId="56" borderId="118" xfId="0" applyFont="1" applyFill="1" applyBorder="1" applyAlignment="1">
      <alignment horizontal="left" vertical="center"/>
    </xf>
    <xf numFmtId="37" fontId="0" fillId="0" borderId="112" xfId="0" applyBorder="1" applyAlignment="1">
      <alignment horizontal="center"/>
    </xf>
    <xf numFmtId="37" fontId="36" fillId="61" borderId="119" xfId="0" applyFont="1" applyFill="1" applyBorder="1" applyAlignment="1">
      <alignment horizontal="center" vertical="center"/>
    </xf>
    <xf numFmtId="37" fontId="36" fillId="61" borderId="115" xfId="0" applyFont="1" applyFill="1" applyBorder="1" applyAlignment="1">
      <alignment horizontal="center" vertical="center"/>
    </xf>
    <xf numFmtId="37" fontId="36" fillId="61" borderId="120" xfId="0" applyFont="1" applyFill="1" applyBorder="1" applyAlignment="1">
      <alignment horizontal="center" vertical="center"/>
    </xf>
    <xf numFmtId="37" fontId="28" fillId="61" borderId="116" xfId="0" applyFont="1" applyFill="1" applyBorder="1" applyAlignment="1">
      <alignment horizontal="center" vertical="center"/>
    </xf>
    <xf numFmtId="37" fontId="28" fillId="61" borderId="112" xfId="0" applyFont="1" applyFill="1" applyBorder="1" applyAlignment="1">
      <alignment horizontal="center" vertical="center"/>
    </xf>
    <xf numFmtId="37" fontId="28" fillId="61" borderId="117" xfId="0" applyFont="1" applyFill="1" applyBorder="1" applyAlignment="1">
      <alignment horizontal="center" vertical="center"/>
    </xf>
    <xf numFmtId="37" fontId="27" fillId="19" borderId="0" xfId="0" applyFont="1" applyFill="1" applyAlignment="1">
      <alignment horizontal="center" vertical="center"/>
    </xf>
    <xf numFmtId="17" fontId="28" fillId="0" borderId="66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37" fontId="29" fillId="19" borderId="87" xfId="0" applyFont="1" applyFill="1" applyBorder="1" applyAlignment="1">
      <alignment horizontal="center" vertical="center"/>
    </xf>
    <xf numFmtId="37" fontId="29" fillId="19" borderId="88" xfId="0" applyFont="1" applyFill="1" applyBorder="1" applyAlignment="1">
      <alignment horizontal="center" vertical="center"/>
    </xf>
    <xf numFmtId="37" fontId="27" fillId="0" borderId="110" xfId="0" applyFont="1" applyBorder="1" applyAlignment="1">
      <alignment horizontal="left" vertical="center"/>
    </xf>
    <xf numFmtId="37" fontId="27" fillId="0" borderId="111" xfId="0" applyFont="1" applyBorder="1" applyAlignment="1">
      <alignment horizontal="left" vertical="center"/>
    </xf>
    <xf numFmtId="37" fontId="29" fillId="19" borderId="74" xfId="0" applyFont="1" applyFill="1" applyBorder="1" applyAlignment="1">
      <alignment horizontal="center" vertical="center"/>
    </xf>
    <xf numFmtId="37" fontId="27" fillId="0" borderId="113" xfId="0" applyFont="1" applyBorder="1" applyAlignment="1">
      <alignment horizontal="left" vertical="center"/>
    </xf>
    <xf numFmtId="37" fontId="27" fillId="0" borderId="114" xfId="0" applyFont="1" applyBorder="1" applyAlignment="1">
      <alignment horizontal="left" vertical="center"/>
    </xf>
    <xf numFmtId="37" fontId="32" fillId="56" borderId="55" xfId="0" applyFont="1" applyFill="1" applyBorder="1" applyAlignment="1">
      <alignment horizontal="center" vertical="center"/>
    </xf>
    <xf numFmtId="37" fontId="32" fillId="56" borderId="56" xfId="0" applyFont="1" applyFill="1" applyBorder="1" applyAlignment="1">
      <alignment horizontal="center" vertical="center"/>
    </xf>
    <xf numFmtId="37" fontId="29" fillId="56" borderId="116" xfId="0" applyFont="1" applyFill="1" applyBorder="1" applyAlignment="1">
      <alignment horizontal="center" vertical="center"/>
    </xf>
    <xf numFmtId="37" fontId="29" fillId="56" borderId="112" xfId="0" applyFont="1" applyFill="1" applyBorder="1" applyAlignment="1">
      <alignment horizontal="center" vertical="center"/>
    </xf>
    <xf numFmtId="37" fontId="29" fillId="56" borderId="117" xfId="0" applyFont="1" applyFill="1" applyBorder="1" applyAlignment="1">
      <alignment horizontal="center" vertical="center"/>
    </xf>
    <xf numFmtId="164" fontId="27" fillId="0" borderId="126" xfId="86" applyFont="1" applyBorder="1" applyAlignment="1">
      <alignment horizontal="center" vertical="center"/>
    </xf>
    <xf numFmtId="164" fontId="27" fillId="0" borderId="0" xfId="86" applyFont="1" applyAlignment="1">
      <alignment horizontal="left" vertical="center"/>
    </xf>
    <xf numFmtId="37" fontId="36" fillId="56" borderId="121" xfId="0" applyFont="1" applyFill="1" applyBorder="1" applyAlignment="1">
      <alignment horizontal="center" vertical="center"/>
    </xf>
    <xf numFmtId="37" fontId="36" fillId="56" borderId="122" xfId="0" applyFont="1" applyFill="1" applyBorder="1" applyAlignment="1">
      <alignment horizontal="center" vertical="center"/>
    </xf>
    <xf numFmtId="37" fontId="31" fillId="0" borderId="66" xfId="0" applyFont="1" applyBorder="1" applyAlignment="1">
      <alignment horizontal="center" vertical="center" wrapText="1"/>
    </xf>
    <xf numFmtId="37" fontId="31" fillId="0" borderId="24" xfId="0" applyFont="1" applyBorder="1" applyAlignment="1">
      <alignment horizontal="center" vertical="center" wrapText="1"/>
    </xf>
    <xf numFmtId="164" fontId="27" fillId="0" borderId="70" xfId="86" applyFont="1" applyBorder="1" applyAlignment="1">
      <alignment horizontal="left" vertical="center"/>
    </xf>
    <xf numFmtId="164" fontId="27" fillId="0" borderId="123" xfId="86" applyFont="1" applyBorder="1" applyAlignment="1">
      <alignment horizontal="left" vertical="center"/>
    </xf>
    <xf numFmtId="37" fontId="27" fillId="56" borderId="124" xfId="0" applyFont="1" applyFill="1" applyBorder="1" applyAlignment="1">
      <alignment horizontal="center" vertical="center"/>
    </xf>
    <xf numFmtId="37" fontId="27" fillId="56" borderId="82" xfId="0" applyFont="1" applyFill="1" applyBorder="1" applyAlignment="1">
      <alignment horizontal="center" vertical="center"/>
    </xf>
    <xf numFmtId="37" fontId="4" fillId="0" borderId="0" xfId="0" applyFont="1" applyAlignment="1">
      <alignment horizontal="center" vertical="center" wrapText="1"/>
    </xf>
    <xf numFmtId="37" fontId="36" fillId="58" borderId="121" xfId="0" applyFont="1" applyFill="1" applyBorder="1" applyAlignment="1">
      <alignment horizontal="center" vertical="center"/>
    </xf>
    <xf numFmtId="37" fontId="36" fillId="58" borderId="122" xfId="0" applyFont="1" applyFill="1" applyBorder="1" applyAlignment="1">
      <alignment horizontal="center" vertical="center"/>
    </xf>
    <xf numFmtId="37" fontId="62" fillId="0" borderId="66" xfId="0" applyFont="1" applyBorder="1" applyAlignment="1">
      <alignment horizontal="center" vertical="center"/>
    </xf>
    <xf numFmtId="37" fontId="62" fillId="0" borderId="23" xfId="0" applyFont="1" applyBorder="1" applyAlignment="1">
      <alignment horizontal="center" vertical="center"/>
    </xf>
    <xf numFmtId="37" fontId="4" fillId="57" borderId="23" xfId="0" applyFont="1" applyFill="1" applyBorder="1" applyAlignment="1">
      <alignment horizontal="center"/>
    </xf>
    <xf numFmtId="37" fontId="29" fillId="54" borderId="0" xfId="0" applyFont="1" applyFill="1" applyAlignment="1">
      <alignment horizontal="center" vertical="center"/>
    </xf>
    <xf numFmtId="37" fontId="27" fillId="60" borderId="116" xfId="63" applyFont="1" applyFill="1" applyBorder="1" applyAlignment="1">
      <alignment horizontal="center" vertical="center"/>
    </xf>
    <xf numFmtId="37" fontId="27" fillId="60" borderId="117" xfId="63" applyFont="1" applyFill="1" applyBorder="1" applyAlignment="1">
      <alignment horizontal="center" vertical="center"/>
    </xf>
    <xf numFmtId="164" fontId="27" fillId="0" borderId="127" xfId="86" applyFont="1" applyBorder="1" applyAlignment="1">
      <alignment horizontal="left" vertical="center"/>
    </xf>
    <xf numFmtId="164" fontId="27" fillId="0" borderId="128" xfId="86" applyFont="1" applyBorder="1" applyAlignment="1">
      <alignment horizontal="left" vertical="center"/>
    </xf>
    <xf numFmtId="39" fontId="27" fillId="56" borderId="125" xfId="0" applyNumberFormat="1" applyFont="1" applyFill="1" applyBorder="1" applyAlignment="1">
      <alignment horizontal="center" vertical="center"/>
    </xf>
    <xf numFmtId="39" fontId="27" fillId="56" borderId="81" xfId="0" applyNumberFormat="1" applyFont="1" applyFill="1" applyBorder="1" applyAlignment="1">
      <alignment horizontal="center" vertical="center"/>
    </xf>
    <xf numFmtId="37" fontId="2" fillId="0" borderId="0" xfId="0" applyFont="1" applyAlignment="1">
      <alignment horizontal="center"/>
    </xf>
    <xf numFmtId="37" fontId="29" fillId="0" borderId="48" xfId="0" applyFont="1" applyBorder="1" applyAlignment="1">
      <alignment horizontal="center" vertical="center"/>
    </xf>
    <xf numFmtId="37" fontId="2" fillId="0" borderId="48" xfId="0" applyFont="1" applyBorder="1" applyAlignment="1">
      <alignment horizontal="center" vertical="center"/>
    </xf>
    <xf numFmtId="175" fontId="27" fillId="54" borderId="0" xfId="63" applyNumberFormat="1" applyFont="1" applyFill="1" applyAlignment="1">
      <alignment horizontal="center" vertical="center" wrapText="1"/>
    </xf>
    <xf numFmtId="37" fontId="28" fillId="17" borderId="129" xfId="0" applyFont="1" applyFill="1" applyBorder="1" applyAlignment="1">
      <alignment vertical="center"/>
    </xf>
    <xf numFmtId="37" fontId="28" fillId="18" borderId="42" xfId="0" applyFont="1" applyFill="1" applyBorder="1" applyAlignment="1">
      <alignment horizontal="center" vertical="center"/>
    </xf>
    <xf numFmtId="37" fontId="28" fillId="18" borderId="87" xfId="0" applyFont="1" applyFill="1" applyBorder="1" applyAlignment="1">
      <alignment horizontal="center" vertical="center"/>
    </xf>
    <xf numFmtId="37" fontId="28" fillId="18" borderId="130" xfId="0" applyFont="1" applyFill="1" applyBorder="1" applyAlignment="1">
      <alignment horizontal="center" vertical="center"/>
    </xf>
    <xf numFmtId="9" fontId="28" fillId="0" borderId="131" xfId="67" applyFont="1" applyBorder="1" applyAlignment="1">
      <alignment horizontal="center" vertical="center"/>
    </xf>
    <xf numFmtId="9" fontId="28" fillId="0" borderId="132" xfId="67" applyFont="1" applyBorder="1" applyAlignment="1">
      <alignment horizontal="center" vertical="center"/>
    </xf>
    <xf numFmtId="168" fontId="32" fillId="18" borderId="43" xfId="0" applyNumberFormat="1" applyFont="1" applyFill="1" applyBorder="1" applyAlignment="1">
      <alignment horizontal="center" vertical="center"/>
    </xf>
    <xf numFmtId="168" fontId="32" fillId="18" borderId="44" xfId="0" applyNumberFormat="1" applyFont="1" applyFill="1" applyBorder="1" applyAlignment="1">
      <alignment horizontal="center" vertical="center"/>
    </xf>
    <xf numFmtId="168" fontId="32" fillId="18" borderId="45" xfId="0" applyNumberFormat="1" applyFont="1" applyFill="1" applyBorder="1" applyAlignment="1">
      <alignment horizontal="center" vertical="center"/>
    </xf>
    <xf numFmtId="166" fontId="37" fillId="18" borderId="43" xfId="0" applyNumberFormat="1" applyFont="1" applyFill="1" applyBorder="1" applyAlignment="1">
      <alignment horizontal="center" vertical="center"/>
    </xf>
    <xf numFmtId="166" fontId="37" fillId="18" borderId="103" xfId="0" applyNumberFormat="1" applyFont="1" applyFill="1" applyBorder="1" applyAlignment="1">
      <alignment horizontal="center" vertical="center"/>
    </xf>
    <xf numFmtId="168" fontId="32" fillId="18" borderId="133" xfId="0" applyNumberFormat="1" applyFont="1" applyFill="1" applyBorder="1" applyAlignment="1">
      <alignment horizontal="center" vertical="center"/>
    </xf>
    <xf numFmtId="168" fontId="32" fillId="18" borderId="113" xfId="0" applyNumberFormat="1" applyFont="1" applyFill="1" applyBorder="1" applyAlignment="1">
      <alignment horizontal="center" vertical="center"/>
    </xf>
    <xf numFmtId="168" fontId="32" fillId="18" borderId="114" xfId="0" applyNumberFormat="1" applyFont="1" applyFill="1" applyBorder="1" applyAlignment="1">
      <alignment horizontal="center" vertical="center"/>
    </xf>
    <xf numFmtId="166" fontId="37" fillId="18" borderId="133" xfId="0" applyNumberFormat="1" applyFont="1" applyFill="1" applyBorder="1" applyAlignment="1">
      <alignment horizontal="center" vertical="center"/>
    </xf>
    <xf numFmtId="166" fontId="37" fillId="18" borderId="134" xfId="0" applyNumberFormat="1" applyFont="1" applyFill="1" applyBorder="1" applyAlignment="1">
      <alignment horizontal="center" vertical="center"/>
    </xf>
    <xf numFmtId="3" fontId="28" fillId="0" borderId="131" xfId="86" applyNumberFormat="1" applyFont="1" applyBorder="1" applyAlignment="1">
      <alignment horizontal="right" vertical="center" indent="1"/>
    </xf>
    <xf numFmtId="3" fontId="28" fillId="0" borderId="27" xfId="86" applyNumberFormat="1" applyFont="1" applyBorder="1" applyAlignment="1">
      <alignment horizontal="right" vertical="center" indent="1"/>
    </xf>
    <xf numFmtId="3" fontId="28" fillId="0" borderId="18" xfId="86" applyNumberFormat="1" applyFont="1" applyBorder="1" applyAlignment="1">
      <alignment horizontal="center" vertical="center"/>
    </xf>
    <xf numFmtId="3" fontId="28" fillId="0" borderId="63" xfId="86" applyNumberFormat="1" applyFont="1" applyBorder="1" applyAlignment="1">
      <alignment horizontal="center" vertical="center"/>
    </xf>
    <xf numFmtId="3" fontId="28" fillId="0" borderId="12" xfId="86" applyNumberFormat="1" applyFont="1" applyBorder="1" applyAlignment="1">
      <alignment horizontal="center" vertical="center" shrinkToFit="1"/>
    </xf>
    <xf numFmtId="3" fontId="66" fillId="0" borderId="30" xfId="86" applyNumberFormat="1" applyFont="1" applyBorder="1" applyAlignment="1">
      <alignment horizontal="center" vertical="center" shrinkToFit="1"/>
    </xf>
    <xf numFmtId="3" fontId="66" fillId="0" borderId="136" xfId="86" applyNumberFormat="1" applyFont="1" applyBorder="1" applyAlignment="1">
      <alignment horizontal="center" vertical="center" shrinkToFit="1"/>
    </xf>
    <xf numFmtId="3" fontId="66" fillId="0" borderId="123" xfId="86" applyNumberFormat="1" applyFont="1" applyBorder="1" applyAlignment="1">
      <alignment horizontal="center" vertical="center" shrinkToFit="1"/>
    </xf>
    <xf numFmtId="37" fontId="28" fillId="18" borderId="64" xfId="0" applyFont="1" applyFill="1" applyBorder="1" applyAlignment="1">
      <alignment horizontal="left" vertical="center" indent="1"/>
    </xf>
    <xf numFmtId="37" fontId="28" fillId="18" borderId="71" xfId="0" applyFont="1" applyFill="1" applyBorder="1" applyAlignment="1">
      <alignment horizontal="left" vertical="center" indent="1"/>
    </xf>
    <xf numFmtId="37" fontId="28" fillId="18" borderId="135" xfId="0" applyFont="1" applyFill="1" applyBorder="1" applyAlignment="1">
      <alignment horizontal="center" vertical="center"/>
    </xf>
    <xf numFmtId="37" fontId="28" fillId="18" borderId="74" xfId="0" applyFont="1" applyFill="1" applyBorder="1" applyAlignment="1">
      <alignment horizontal="center" vertical="center"/>
    </xf>
    <xf numFmtId="37" fontId="29" fillId="19" borderId="133" xfId="0" applyFont="1" applyFill="1" applyBorder="1" applyAlignment="1">
      <alignment vertical="center"/>
    </xf>
    <xf numFmtId="37" fontId="29" fillId="19" borderId="113" xfId="0" applyFont="1" applyFill="1" applyBorder="1" applyAlignment="1">
      <alignment vertical="center"/>
    </xf>
    <xf numFmtId="37" fontId="29" fillId="19" borderId="114" xfId="0" applyFont="1" applyFill="1" applyBorder="1" applyAlignment="1">
      <alignment vertical="center"/>
    </xf>
    <xf numFmtId="37" fontId="28" fillId="18" borderId="88" xfId="0" applyFont="1" applyFill="1" applyBorder="1" applyAlignment="1">
      <alignment horizontal="center" vertical="center"/>
    </xf>
    <xf numFmtId="37" fontId="40" fillId="0" borderId="0" xfId="0" applyFont="1" applyAlignment="1">
      <alignment horizontal="center" vertical="center"/>
    </xf>
    <xf numFmtId="37" fontId="36" fillId="18" borderId="137" xfId="0" applyFont="1" applyFill="1" applyBorder="1" applyAlignment="1">
      <alignment horizontal="center" vertical="center"/>
    </xf>
    <xf numFmtId="37" fontId="36" fillId="18" borderId="138" xfId="0" applyFont="1" applyFill="1" applyBorder="1" applyAlignment="1">
      <alignment horizontal="center" vertical="center"/>
    </xf>
    <xf numFmtId="3" fontId="28" fillId="0" borderId="131" xfId="86" applyNumberFormat="1" applyFont="1" applyBorder="1" applyAlignment="1">
      <alignment horizontal="right" vertical="center"/>
    </xf>
    <xf numFmtId="3" fontId="28" fillId="0" borderId="132" xfId="86" applyNumberFormat="1" applyFont="1" applyBorder="1" applyAlignment="1">
      <alignment horizontal="right" vertical="center"/>
    </xf>
    <xf numFmtId="37" fontId="29" fillId="0" borderId="75" xfId="0" applyFont="1" applyBorder="1" applyAlignment="1">
      <alignment horizontal="left" vertical="center" indent="1"/>
    </xf>
    <xf numFmtId="37" fontId="29" fillId="0" borderId="44" xfId="0" applyFont="1" applyBorder="1" applyAlignment="1">
      <alignment horizontal="left" vertical="center" indent="1"/>
    </xf>
    <xf numFmtId="37" fontId="29" fillId="0" borderId="45" xfId="0" applyFont="1" applyBorder="1" applyAlignment="1">
      <alignment horizontal="left" vertical="center" indent="1"/>
    </xf>
    <xf numFmtId="3" fontId="28" fillId="0" borderId="27" xfId="86" applyNumberFormat="1" applyFont="1" applyBorder="1" applyAlignment="1">
      <alignment horizontal="center" vertical="center" shrinkToFit="1"/>
    </xf>
    <xf numFmtId="37" fontId="28" fillId="0" borderId="12" xfId="0" applyFont="1" applyBorder="1" applyAlignment="1">
      <alignment horizontal="center" vertical="center"/>
    </xf>
    <xf numFmtId="37" fontId="28" fillId="0" borderId="30" xfId="0" applyFont="1" applyBorder="1" applyAlignment="1">
      <alignment horizontal="center" vertical="center"/>
    </xf>
    <xf numFmtId="37" fontId="28" fillId="0" borderId="18" xfId="0" applyFont="1" applyBorder="1" applyAlignment="1">
      <alignment horizontal="center" vertical="center"/>
    </xf>
    <xf numFmtId="37" fontId="28" fillId="0" borderId="63" xfId="0" applyFont="1" applyBorder="1" applyAlignment="1">
      <alignment horizontal="center" vertical="center"/>
    </xf>
    <xf numFmtId="3" fontId="28" fillId="0" borderId="30" xfId="86" applyNumberFormat="1" applyFont="1" applyBorder="1" applyAlignment="1">
      <alignment horizontal="right" vertical="center" indent="1"/>
    </xf>
    <xf numFmtId="37" fontId="66" fillId="0" borderId="30" xfId="0" applyFont="1" applyBorder="1" applyAlignment="1">
      <alignment horizontal="center" vertical="center"/>
    </xf>
    <xf numFmtId="37" fontId="66" fillId="0" borderId="136" xfId="0" applyFont="1" applyBorder="1" applyAlignment="1">
      <alignment horizontal="center" vertical="center"/>
    </xf>
    <xf numFmtId="37" fontId="66" fillId="0" borderId="27" xfId="0" applyFont="1" applyBorder="1" applyAlignment="1">
      <alignment horizontal="center" vertical="center"/>
    </xf>
    <xf numFmtId="3" fontId="66" fillId="0" borderId="27" xfId="86" applyNumberFormat="1" applyFont="1" applyBorder="1" applyAlignment="1">
      <alignment horizontal="center" vertical="center" shrinkToFit="1"/>
    </xf>
    <xf numFmtId="3" fontId="66" fillId="0" borderId="12" xfId="86" applyNumberFormat="1" applyFont="1" applyBorder="1" applyAlignment="1">
      <alignment horizontal="center" vertical="center" shrinkToFit="1"/>
    </xf>
    <xf numFmtId="37" fontId="7" fillId="0" borderId="0" xfId="0" applyFont="1" applyAlignment="1">
      <alignment horizontal="center"/>
    </xf>
    <xf numFmtId="37" fontId="36" fillId="18" borderId="139" xfId="0" applyFont="1" applyFill="1" applyBorder="1" applyAlignment="1">
      <alignment horizontal="center" vertical="center"/>
    </xf>
    <xf numFmtId="37" fontId="36" fillId="18" borderId="140" xfId="0" applyFont="1" applyFill="1" applyBorder="1" applyAlignment="1">
      <alignment horizontal="center" vertical="center"/>
    </xf>
    <xf numFmtId="37" fontId="36" fillId="18" borderId="141" xfId="0" applyFont="1" applyFill="1" applyBorder="1" applyAlignment="1">
      <alignment horizontal="center" vertical="center"/>
    </xf>
    <xf numFmtId="3" fontId="28" fillId="0" borderId="30" xfId="86" applyNumberFormat="1" applyFont="1" applyBorder="1" applyAlignment="1">
      <alignment horizontal="center" vertical="center" shrinkToFit="1"/>
    </xf>
    <xf numFmtId="37" fontId="28" fillId="54" borderId="27" xfId="0" applyFont="1" applyFill="1" applyBorder="1" applyAlignment="1">
      <alignment horizontal="center" vertical="center"/>
    </xf>
    <xf numFmtId="37" fontId="28" fillId="54" borderId="12" xfId="0" applyFont="1" applyFill="1" applyBorder="1" applyAlignment="1">
      <alignment horizontal="center" vertical="center"/>
    </xf>
    <xf numFmtId="37" fontId="28" fillId="0" borderId="27" xfId="0" applyFont="1" applyBorder="1" applyAlignment="1">
      <alignment horizontal="center" vertical="center"/>
    </xf>
    <xf numFmtId="37" fontId="66" fillId="0" borderId="131" xfId="0" applyFont="1" applyBorder="1" applyAlignment="1">
      <alignment horizontal="center" vertical="center"/>
    </xf>
    <xf numFmtId="37" fontId="66" fillId="0" borderId="123" xfId="0" applyFont="1" applyBorder="1" applyAlignment="1">
      <alignment horizontal="center" vertical="center"/>
    </xf>
    <xf numFmtId="37" fontId="66" fillId="0" borderId="132" xfId="0" applyFont="1" applyBorder="1" applyAlignment="1">
      <alignment horizontal="center" vertical="center"/>
    </xf>
  </cellXfs>
  <cellStyles count="88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 2" xfId="59"/>
    <cellStyle name="Moeda" xfId="60" builtinId="4"/>
    <cellStyle name="Neutra 2" xfId="61"/>
    <cellStyle name="Normal" xfId="0" builtinId="0"/>
    <cellStyle name="Normal 2" xfId="62"/>
    <cellStyle name="Normal 3" xfId="63"/>
    <cellStyle name="Normal 4" xfId="64"/>
    <cellStyle name="Nota" xfId="65" builtinId="10" customBuiltin="1"/>
    <cellStyle name="Nota 2" xfId="66"/>
    <cellStyle name="Porcentagem" xfId="67" builtinId="5"/>
    <cellStyle name="Saída" xfId="68" builtinId="21" customBuiltin="1"/>
    <cellStyle name="Saída 2" xfId="69"/>
    <cellStyle name="Texto de Aviso" xfId="70" builtinId="11" customBuiltin="1"/>
    <cellStyle name="Texto de Aviso 2" xfId="71"/>
    <cellStyle name="Texto Explicativo" xfId="72" builtinId="53" customBuiltin="1"/>
    <cellStyle name="Texto Explicativo 2" xfId="73"/>
    <cellStyle name="Título" xfId="74" builtinId="15" customBuiltin="1"/>
    <cellStyle name="Título 1" xfId="75" builtinId="16" customBuiltin="1"/>
    <cellStyle name="Título 1 2" xfId="76"/>
    <cellStyle name="Título 2" xfId="77" builtinId="17" customBuiltin="1"/>
    <cellStyle name="Título 2 2" xfId="78"/>
    <cellStyle name="Título 3" xfId="79" builtinId="18" customBuiltin="1"/>
    <cellStyle name="Título 3 2" xfId="80"/>
    <cellStyle name="Título 4" xfId="81" builtinId="19" customBuiltin="1"/>
    <cellStyle name="Título 4 2" xfId="82"/>
    <cellStyle name="Título 5" xfId="83"/>
    <cellStyle name="Total" xfId="84" builtinId="25" customBuiltin="1"/>
    <cellStyle name="Total 2" xfId="85"/>
    <cellStyle name="Vírgula" xfId="86" builtinId="3"/>
    <cellStyle name="Vírgula 2" xfId="8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red/Downloads/Planilha-2022-versao-2-analise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0"/>
      <sheetData sheetId="1"/>
      <sheetData sheetId="2">
        <row r="17">
          <cell r="T17">
            <v>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47"/>
  <sheetViews>
    <sheetView showGridLines="0" zoomScale="120" zoomScaleNormal="120" workbookViewId="0">
      <selection activeCell="H17" sqref="H17"/>
    </sheetView>
  </sheetViews>
  <sheetFormatPr defaultRowHeight="12" x14ac:dyDescent="0.15"/>
  <cols>
    <col min="1" max="1" width="2.625" customWidth="1"/>
    <col min="2" max="2" width="12.375" customWidth="1"/>
    <col min="3" max="3" width="15.375" bestFit="1" customWidth="1"/>
    <col min="4" max="4" width="14" customWidth="1"/>
    <col min="5" max="5" width="11.625" customWidth="1"/>
    <col min="6" max="6" width="11.25" customWidth="1"/>
    <col min="7" max="7" width="19.625" bestFit="1" customWidth="1"/>
    <col min="8" max="8" width="13.25" customWidth="1"/>
    <col min="9" max="9" width="11.875" customWidth="1"/>
    <col min="10" max="10" width="7.875" customWidth="1"/>
    <col min="11" max="11" width="2.625" customWidth="1"/>
    <col min="12" max="12" width="15.625" customWidth="1"/>
    <col min="13" max="13" width="8" customWidth="1"/>
    <col min="14" max="14" width="2.625" customWidth="1"/>
    <col min="15" max="15" width="15.625" customWidth="1"/>
    <col min="16" max="16" width="11.125" bestFit="1" customWidth="1"/>
    <col min="17" max="17" width="2.625" customWidth="1"/>
    <col min="18" max="18" width="8.875" customWidth="1"/>
    <col min="19" max="19" width="52.125" customWidth="1"/>
    <col min="20" max="20" width="5.875" customWidth="1"/>
  </cols>
  <sheetData>
    <row r="1" spans="2:22" ht="14.1" customHeight="1" thickBot="1" x14ac:dyDescent="0.2"/>
    <row r="2" spans="2:22" ht="14.1" customHeight="1" x14ac:dyDescent="0.15">
      <c r="B2" s="435" t="s">
        <v>152</v>
      </c>
      <c r="C2" s="436"/>
      <c r="D2" s="436"/>
      <c r="E2" s="436"/>
      <c r="F2" s="436"/>
      <c r="G2" s="436"/>
      <c r="H2" s="436"/>
      <c r="I2" s="437"/>
      <c r="K2" s="432" t="s">
        <v>153</v>
      </c>
      <c r="L2" s="433"/>
      <c r="M2" s="433"/>
      <c r="N2" s="433"/>
      <c r="O2" s="433"/>
      <c r="P2" s="433"/>
      <c r="Q2" s="434"/>
    </row>
    <row r="3" spans="2:22" ht="14.1" customHeight="1" thickBot="1" x14ac:dyDescent="0.2">
      <c r="B3" s="198"/>
      <c r="C3" s="179"/>
      <c r="D3" s="441"/>
      <c r="E3" s="441"/>
      <c r="F3" s="442"/>
      <c r="G3" s="441"/>
      <c r="H3" s="441"/>
      <c r="I3" s="445"/>
      <c r="J3" s="140"/>
      <c r="K3" s="28"/>
      <c r="Q3" s="29"/>
    </row>
    <row r="4" spans="2:22" ht="14.1" customHeight="1" thickBot="1" x14ac:dyDescent="0.2">
      <c r="B4" s="439">
        <v>45383</v>
      </c>
      <c r="C4" s="440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199" t="s">
        <v>26</v>
      </c>
      <c r="J4" s="141"/>
      <c r="K4" s="28"/>
      <c r="L4" s="448" t="s">
        <v>46</v>
      </c>
      <c r="M4" s="449"/>
      <c r="N4" s="310"/>
      <c r="O4" s="448" t="s">
        <v>47</v>
      </c>
      <c r="P4" s="449"/>
      <c r="Q4" s="29"/>
      <c r="S4" s="182"/>
      <c r="T4" s="182"/>
      <c r="U4" s="182"/>
    </row>
    <row r="5" spans="2:22" s="7" customFormat="1" ht="14.1" customHeight="1" x14ac:dyDescent="0.15">
      <c r="B5" s="300" t="s">
        <v>29</v>
      </c>
      <c r="C5" s="298">
        <v>22</v>
      </c>
      <c r="D5" s="418">
        <v>4000.2750000000001</v>
      </c>
      <c r="E5" s="418">
        <v>29948.829000000002</v>
      </c>
      <c r="F5" s="293">
        <v>3059.9279999999999</v>
      </c>
      <c r="G5" s="281">
        <f t="shared" ref="G5:I7" si="0">D5*$C5</f>
        <v>88006.05</v>
      </c>
      <c r="H5" s="281">
        <f t="shared" si="0"/>
        <v>658874.23800000001</v>
      </c>
      <c r="I5" s="282">
        <f t="shared" si="0"/>
        <v>67318.415999999997</v>
      </c>
      <c r="J5" s="142"/>
      <c r="K5" s="28"/>
      <c r="L5" s="303" t="s">
        <v>13</v>
      </c>
      <c r="M5" s="318">
        <v>2180.39</v>
      </c>
      <c r="N5" s="304"/>
      <c r="O5" s="315" t="s">
        <v>13</v>
      </c>
      <c r="P5" s="326">
        <v>1610.07</v>
      </c>
      <c r="Q5" s="29"/>
      <c r="S5" s="183"/>
      <c r="T5" s="183"/>
      <c r="U5" s="183"/>
    </row>
    <row r="6" spans="2:22" ht="14.1" customHeight="1" x14ac:dyDescent="0.15">
      <c r="B6" s="301" t="s">
        <v>30</v>
      </c>
      <c r="C6" s="299">
        <v>4</v>
      </c>
      <c r="D6" s="294">
        <v>8056.3739999999998</v>
      </c>
      <c r="E6" s="294">
        <v>16292.614</v>
      </c>
      <c r="F6" s="295">
        <v>2232.998</v>
      </c>
      <c r="G6" s="283">
        <f t="shared" si="0"/>
        <v>32225.495999999999</v>
      </c>
      <c r="H6" s="283">
        <f t="shared" si="0"/>
        <v>65170.455999999998</v>
      </c>
      <c r="I6" s="284">
        <f t="shared" si="0"/>
        <v>8931.9920000000002</v>
      </c>
      <c r="J6" s="141"/>
      <c r="K6" s="28"/>
      <c r="L6" s="305" t="s">
        <v>14</v>
      </c>
      <c r="M6" s="318">
        <v>1523.36</v>
      </c>
      <c r="N6" s="304"/>
      <c r="O6" s="316" t="s">
        <v>14</v>
      </c>
      <c r="P6" s="327">
        <v>955.39</v>
      </c>
      <c r="Q6" s="29"/>
      <c r="S6" s="182"/>
      <c r="T6" s="182"/>
      <c r="U6" s="182"/>
    </row>
    <row r="7" spans="2:22" ht="14.1" customHeight="1" x14ac:dyDescent="0.15">
      <c r="B7" s="302" t="s">
        <v>31</v>
      </c>
      <c r="C7" s="291">
        <v>4</v>
      </c>
      <c r="D7" s="296">
        <v>9865.9809999999998</v>
      </c>
      <c r="E7" s="296">
        <v>4791.866</v>
      </c>
      <c r="F7" s="297">
        <v>347.64499999999998</v>
      </c>
      <c r="G7" s="285">
        <f t="shared" si="0"/>
        <v>39463.923999999999</v>
      </c>
      <c r="H7" s="285">
        <f t="shared" si="0"/>
        <v>19167.464</v>
      </c>
      <c r="I7" s="286">
        <f t="shared" si="0"/>
        <v>1390.58</v>
      </c>
      <c r="J7" s="141"/>
      <c r="K7" s="28"/>
      <c r="L7" s="306" t="s">
        <v>15</v>
      </c>
      <c r="M7" s="318">
        <v>827.08</v>
      </c>
      <c r="N7" s="304"/>
      <c r="O7" s="316" t="s">
        <v>15</v>
      </c>
      <c r="P7" s="327">
        <v>332.33</v>
      </c>
      <c r="Q7" s="29"/>
      <c r="S7" s="182"/>
      <c r="T7" s="182"/>
      <c r="U7" s="182"/>
    </row>
    <row r="8" spans="2:22" ht="14.1" customHeight="1" x14ac:dyDescent="0.15">
      <c r="B8" s="302" t="s">
        <v>120</v>
      </c>
      <c r="C8" s="291">
        <f>SUM(C5:C7)</f>
        <v>30</v>
      </c>
      <c r="D8" s="292" t="s">
        <v>105</v>
      </c>
      <c r="E8" s="446" t="s">
        <v>22</v>
      </c>
      <c r="F8" s="447"/>
      <c r="G8" s="287">
        <f>SUM(G5:G7)</f>
        <v>159695.47</v>
      </c>
      <c r="H8" s="287">
        <f>SUM(H5:H7)</f>
        <v>743212.15800000005</v>
      </c>
      <c r="I8" s="288">
        <f>SUM(I5:I7)</f>
        <v>77640.987999999998</v>
      </c>
      <c r="J8" s="141"/>
      <c r="K8" s="28"/>
      <c r="L8" s="307" t="s">
        <v>16</v>
      </c>
      <c r="M8" s="319">
        <f>M5/6</f>
        <v>363.39833333333331</v>
      </c>
      <c r="N8" s="245"/>
      <c r="O8" s="317" t="s">
        <v>16</v>
      </c>
      <c r="P8" s="328">
        <f>P5/6</f>
        <v>268.34499999999997</v>
      </c>
      <c r="Q8" s="29"/>
      <c r="S8" s="182"/>
      <c r="T8" s="182"/>
      <c r="U8" s="182"/>
    </row>
    <row r="9" spans="2:22" ht="14.1" customHeight="1" thickBot="1" x14ac:dyDescent="0.2">
      <c r="B9" s="198"/>
      <c r="C9" s="266"/>
      <c r="D9" s="200"/>
      <c r="E9" s="443" t="s">
        <v>23</v>
      </c>
      <c r="F9" s="444"/>
      <c r="G9" s="289">
        <f>G8</f>
        <v>159695.47</v>
      </c>
      <c r="H9" s="289">
        <f>H8</f>
        <v>743212.15800000005</v>
      </c>
      <c r="I9" s="290">
        <f>I8</f>
        <v>77640.987999999998</v>
      </c>
      <c r="J9" s="141"/>
      <c r="K9" s="28"/>
      <c r="L9" s="305" t="s">
        <v>17</v>
      </c>
      <c r="M9" s="320">
        <f>M6/6</f>
        <v>253.89333333333332</v>
      </c>
      <c r="N9" s="245"/>
      <c r="O9" s="305" t="s">
        <v>17</v>
      </c>
      <c r="P9" s="320">
        <f>P6/6</f>
        <v>159.23166666666665</v>
      </c>
      <c r="Q9" s="29"/>
      <c r="T9" s="182"/>
      <c r="U9" s="182"/>
      <c r="V9" s="182"/>
    </row>
    <row r="10" spans="2:22" ht="14.1" customHeight="1" thickBot="1" x14ac:dyDescent="0.2">
      <c r="B10" s="201"/>
      <c r="C10" s="202"/>
      <c r="D10" s="202"/>
      <c r="E10" s="429" t="s">
        <v>34</v>
      </c>
      <c r="F10" s="430"/>
      <c r="G10" s="279"/>
      <c r="H10" s="279"/>
      <c r="I10" s="280">
        <f>SUM(G9:I9)</f>
        <v>980548.61600000004</v>
      </c>
      <c r="J10" s="178"/>
      <c r="K10" s="28"/>
      <c r="L10" s="306" t="s">
        <v>18</v>
      </c>
      <c r="M10" s="321">
        <f>M7/6</f>
        <v>137.84666666666666</v>
      </c>
      <c r="N10" s="245"/>
      <c r="O10" s="306" t="s">
        <v>18</v>
      </c>
      <c r="P10" s="329">
        <f>P7/6</f>
        <v>55.388333333333328</v>
      </c>
      <c r="Q10" s="29"/>
      <c r="T10" s="182"/>
      <c r="U10" s="184"/>
      <c r="V10" s="182"/>
    </row>
    <row r="11" spans="2:22" ht="13.5" thickBot="1" x14ac:dyDescent="0.2">
      <c r="B11" s="438" t="s">
        <v>105</v>
      </c>
      <c r="C11" s="438"/>
      <c r="D11" s="9"/>
      <c r="E11" s="9"/>
      <c r="F11" s="160"/>
      <c r="G11" s="431"/>
      <c r="H11" s="431"/>
      <c r="K11" s="28"/>
      <c r="L11" s="308" t="s">
        <v>49</v>
      </c>
      <c r="M11" s="322">
        <f>C7</f>
        <v>4</v>
      </c>
      <c r="N11" s="245"/>
      <c r="O11" s="308" t="s">
        <v>49</v>
      </c>
      <c r="P11" s="322">
        <f>C7</f>
        <v>4</v>
      </c>
      <c r="Q11" s="29"/>
      <c r="T11" s="182"/>
      <c r="U11" s="184"/>
      <c r="V11" s="182"/>
    </row>
    <row r="12" spans="2:22" x14ac:dyDescent="0.15">
      <c r="B12" s="427" t="s">
        <v>137</v>
      </c>
      <c r="C12" s="428"/>
      <c r="D12" s="169"/>
      <c r="E12" s="423" t="s">
        <v>128</v>
      </c>
      <c r="F12" s="424"/>
      <c r="K12" s="28"/>
      <c r="L12" s="307" t="s">
        <v>19</v>
      </c>
      <c r="M12" s="323">
        <f>((M8*$C$5)+(M9*$C$6)+(M10*$C$7))/($C$8-$C$7)</f>
        <v>367.75858974358977</v>
      </c>
      <c r="N12" s="245"/>
      <c r="O12" s="307" t="s">
        <v>19</v>
      </c>
      <c r="P12" s="323">
        <f>((P8*$C$5)+(P9*$C$6)+(P10*$C$7))/($C$8-$C$7)</f>
        <v>260.07961538461535</v>
      </c>
      <c r="Q12" s="29"/>
      <c r="T12" s="182"/>
      <c r="U12" s="184"/>
      <c r="V12" s="182"/>
    </row>
    <row r="13" spans="2:22" ht="14.1" customHeight="1" thickBot="1" x14ac:dyDescent="0.2">
      <c r="B13" s="419" t="s">
        <v>45</v>
      </c>
      <c r="C13" s="195" t="s">
        <v>154</v>
      </c>
      <c r="D13" s="170"/>
      <c r="E13" s="425"/>
      <c r="F13" s="426"/>
      <c r="J13" s="265"/>
      <c r="K13" s="28"/>
      <c r="L13" s="309" t="s">
        <v>51</v>
      </c>
      <c r="M13" s="324">
        <f>M12*0.0909</f>
        <v>33.429255807692307</v>
      </c>
      <c r="N13" s="245"/>
      <c r="O13" s="309" t="s">
        <v>51</v>
      </c>
      <c r="P13" s="324">
        <f>P12*0.0909</f>
        <v>23.641237038461533</v>
      </c>
      <c r="Q13" s="29"/>
      <c r="T13" s="182"/>
      <c r="U13" s="182"/>
      <c r="V13" s="182"/>
    </row>
    <row r="14" spans="2:22" ht="14.1" customHeight="1" thickBot="1" x14ac:dyDescent="0.2">
      <c r="B14" s="196" t="s">
        <v>35</v>
      </c>
      <c r="C14" s="197">
        <v>1611493</v>
      </c>
      <c r="D14" s="176"/>
      <c r="E14" s="203">
        <v>1075</v>
      </c>
      <c r="F14" s="204"/>
      <c r="K14" s="28"/>
      <c r="L14" s="309" t="s">
        <v>20</v>
      </c>
      <c r="M14" s="324">
        <f>SUM(M12:M13)</f>
        <v>401.18784555128207</v>
      </c>
      <c r="N14" s="245"/>
      <c r="O14" s="309" t="s">
        <v>20</v>
      </c>
      <c r="P14" s="324">
        <f>SUM(P12:P13)</f>
        <v>283.72085242307691</v>
      </c>
      <c r="Q14" s="29"/>
      <c r="T14" s="182"/>
      <c r="U14" s="182"/>
      <c r="V14" s="182"/>
    </row>
    <row r="15" spans="2:22" ht="14.1" customHeight="1" x14ac:dyDescent="0.15">
      <c r="C15" s="179"/>
      <c r="D15" s="171"/>
      <c r="K15" s="28"/>
      <c r="L15" s="309" t="s">
        <v>52</v>
      </c>
      <c r="M15" s="324">
        <f>M14*10%</f>
        <v>40.118784555128208</v>
      </c>
      <c r="N15" s="245"/>
      <c r="O15" s="309" t="s">
        <v>52</v>
      </c>
      <c r="P15" s="324">
        <f>P14/10</f>
        <v>28.372085242307691</v>
      </c>
      <c r="Q15" s="29"/>
    </row>
    <row r="16" spans="2:22" ht="14.1" customHeight="1" x14ac:dyDescent="0.15">
      <c r="C16" s="179"/>
      <c r="K16" s="28"/>
      <c r="L16" s="305" t="s">
        <v>50</v>
      </c>
      <c r="M16" s="324">
        <f>SUM(M14:M15)</f>
        <v>441.3066301064103</v>
      </c>
      <c r="N16" s="245"/>
      <c r="O16" s="305" t="s">
        <v>50</v>
      </c>
      <c r="P16" s="324">
        <f>SUM(P14:P15)</f>
        <v>312.09293766538462</v>
      </c>
      <c r="Q16" s="29"/>
    </row>
    <row r="17" spans="3:17" ht="14.1" customHeight="1" x14ac:dyDescent="0.15">
      <c r="C17" s="179"/>
      <c r="K17" s="28"/>
      <c r="L17" s="309" t="s">
        <v>53</v>
      </c>
      <c r="M17" s="324">
        <f>M16*5%</f>
        <v>22.065331505320515</v>
      </c>
      <c r="N17" s="245"/>
      <c r="O17" s="309" t="s">
        <v>53</v>
      </c>
      <c r="P17" s="324">
        <f>P16/20</f>
        <v>15.604646883269231</v>
      </c>
      <c r="Q17" s="29"/>
    </row>
    <row r="18" spans="3:17" ht="14.1" customHeight="1" x14ac:dyDescent="0.15">
      <c r="C18" s="179"/>
      <c r="D18" s="179"/>
      <c r="E18" s="180"/>
      <c r="K18" s="28"/>
      <c r="L18" s="305" t="s">
        <v>21</v>
      </c>
      <c r="M18" s="324">
        <f>SUM(M16:M17)</f>
        <v>463.3719616117308</v>
      </c>
      <c r="N18" s="245"/>
      <c r="O18" s="305" t="s">
        <v>21</v>
      </c>
      <c r="P18" s="324">
        <f>SUM(P16:P17)</f>
        <v>327.69758454865388</v>
      </c>
      <c r="Q18" s="29"/>
    </row>
    <row r="19" spans="3:17" ht="14.1" customHeight="1" thickBot="1" x14ac:dyDescent="0.2">
      <c r="C19" s="179"/>
      <c r="D19" s="179"/>
      <c r="E19" s="179"/>
      <c r="J19" s="189"/>
      <c r="K19" s="28"/>
      <c r="L19" s="312" t="s">
        <v>1</v>
      </c>
      <c r="M19" s="325">
        <v>151</v>
      </c>
      <c r="N19" s="245"/>
      <c r="O19" s="312" t="s">
        <v>1</v>
      </c>
      <c r="P19" s="325">
        <v>130</v>
      </c>
      <c r="Q19" s="29"/>
    </row>
    <row r="20" spans="3:17" ht="14.1" customHeight="1" thickBot="1" x14ac:dyDescent="0.2">
      <c r="C20" s="179"/>
      <c r="D20" s="179"/>
      <c r="E20" s="179"/>
      <c r="J20" s="189"/>
      <c r="K20" s="28"/>
      <c r="L20" s="313" t="s">
        <v>48</v>
      </c>
      <c r="M20" s="314">
        <f>M18/M19</f>
        <v>3.0686884874949061</v>
      </c>
      <c r="N20" s="311"/>
      <c r="O20" s="313" t="s">
        <v>48</v>
      </c>
      <c r="P20" s="314">
        <f>(P18/P19)-0.0001</f>
        <v>2.5206506503742605</v>
      </c>
      <c r="Q20" s="29"/>
    </row>
    <row r="21" spans="3:17" ht="14.1" customHeight="1" x14ac:dyDescent="0.15">
      <c r="C21" s="179"/>
      <c r="D21" s="179"/>
      <c r="E21" s="179"/>
      <c r="K21" s="30"/>
      <c r="L21" s="31"/>
      <c r="M21" s="31"/>
      <c r="N21" s="31"/>
      <c r="O21" s="31"/>
      <c r="P21" s="31"/>
      <c r="Q21" s="32"/>
    </row>
    <row r="22" spans="3:17" ht="14.1" customHeight="1" x14ac:dyDescent="0.15">
      <c r="D22" s="179"/>
      <c r="E22" s="179"/>
      <c r="L22" s="421"/>
      <c r="M22" s="421"/>
      <c r="N22" s="421"/>
      <c r="O22" s="421"/>
      <c r="P22" s="421"/>
    </row>
    <row r="23" spans="3:17" ht="14.1" customHeight="1" x14ac:dyDescent="0.15">
      <c r="D23" s="179"/>
    </row>
    <row r="24" spans="3:17" ht="14.1" customHeight="1" x14ac:dyDescent="0.15">
      <c r="D24" s="179"/>
    </row>
    <row r="25" spans="3:17" ht="14.1" customHeight="1" x14ac:dyDescent="0.15">
      <c r="G25" s="422"/>
      <c r="H25" s="422"/>
      <c r="I25" s="422"/>
      <c r="J25" s="422"/>
      <c r="K25" s="422"/>
      <c r="L25" s="422"/>
      <c r="M25" s="422"/>
    </row>
    <row r="27" spans="3:17" x14ac:dyDescent="0.15">
      <c r="I27" s="175"/>
      <c r="J27" s="27"/>
      <c r="K27" s="174"/>
      <c r="L27" s="175"/>
      <c r="M27" s="177"/>
    </row>
    <row r="34" spans="7:13" x14ac:dyDescent="0.15">
      <c r="G34" s="189"/>
      <c r="H34" s="189"/>
    </row>
    <row r="35" spans="7:13" x14ac:dyDescent="0.15">
      <c r="G35" s="189"/>
      <c r="H35" s="189"/>
    </row>
    <row r="47" spans="7:13" x14ac:dyDescent="0.15">
      <c r="M47" s="123"/>
    </row>
  </sheetData>
  <mergeCells count="16">
    <mergeCell ref="K2:Q2"/>
    <mergeCell ref="B2:I2"/>
    <mergeCell ref="B11:C11"/>
    <mergeCell ref="B4:C4"/>
    <mergeCell ref="D3:F3"/>
    <mergeCell ref="E9:F9"/>
    <mergeCell ref="G3:I3"/>
    <mergeCell ref="E8:F8"/>
    <mergeCell ref="O4:P4"/>
    <mergeCell ref="L4:M4"/>
    <mergeCell ref="L22:P22"/>
    <mergeCell ref="G25:M25"/>
    <mergeCell ref="E12:F13"/>
    <mergeCell ref="B12:C12"/>
    <mergeCell ref="E10:F10"/>
    <mergeCell ref="G11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0"/>
  <sheetViews>
    <sheetView showGridLines="0" zoomScale="115" zoomScaleNormal="115" workbookViewId="0">
      <selection activeCell="K27" sqref="K27"/>
    </sheetView>
  </sheetViews>
  <sheetFormatPr defaultRowHeight="11.25" x14ac:dyDescent="0.2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6.875" style="1" bestFit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" style="1" customWidth="1"/>
    <col min="17" max="17" width="12.5" style="1" customWidth="1"/>
    <col min="18" max="16384" width="9" style="1"/>
  </cols>
  <sheetData>
    <row r="1" spans="2:16" ht="12" thickBot="1" x14ac:dyDescent="0.25"/>
    <row r="2" spans="2:16" s="2" customFormat="1" ht="14.1" customHeight="1" thickBot="1" x14ac:dyDescent="0.25">
      <c r="B2" s="450" t="s">
        <v>135</v>
      </c>
      <c r="C2" s="451"/>
      <c r="D2" s="451"/>
      <c r="E2" s="451"/>
      <c r="F2" s="451"/>
      <c r="G2" s="451"/>
      <c r="H2" s="452"/>
      <c r="I2" s="8"/>
      <c r="J2" s="12"/>
    </row>
    <row r="3" spans="2:16" s="2" customFormat="1" ht="14.1" customHeight="1" x14ac:dyDescent="0.2">
      <c r="B3" s="457"/>
      <c r="C3" s="458"/>
      <c r="D3" s="14" t="s">
        <v>36</v>
      </c>
      <c r="E3" s="15" t="s">
        <v>126</v>
      </c>
      <c r="F3" s="15" t="s">
        <v>37</v>
      </c>
      <c r="G3" s="15" t="s">
        <v>38</v>
      </c>
      <c r="H3" s="268" t="s">
        <v>39</v>
      </c>
      <c r="I3" s="128"/>
      <c r="J3" s="455" t="s">
        <v>149</v>
      </c>
      <c r="K3" s="456"/>
      <c r="M3" s="145"/>
      <c r="N3" s="145"/>
      <c r="O3" s="145"/>
      <c r="P3" s="145"/>
    </row>
    <row r="4" spans="2:16" s="2" customFormat="1" ht="14.1" customHeight="1" x14ac:dyDescent="0.2">
      <c r="B4" s="459" t="s">
        <v>32</v>
      </c>
      <c r="C4" s="460"/>
      <c r="D4" s="272">
        <v>300000</v>
      </c>
      <c r="E4" s="275">
        <v>334000</v>
      </c>
      <c r="F4" s="13">
        <f>SUM(D4:E4)</f>
        <v>634000</v>
      </c>
      <c r="G4" s="13">
        <f>6*K17</f>
        <v>11549.82</v>
      </c>
      <c r="H4" s="269">
        <f>F4-G4</f>
        <v>622450.18000000005</v>
      </c>
      <c r="I4" s="453" t="s">
        <v>133</v>
      </c>
      <c r="J4" s="251" t="s">
        <v>85</v>
      </c>
      <c r="K4" s="252">
        <v>2685.08</v>
      </c>
      <c r="L4" s="144"/>
      <c r="M4" s="469"/>
      <c r="N4" s="469"/>
      <c r="O4" s="147"/>
      <c r="P4" s="145"/>
    </row>
    <row r="5" spans="2:16" s="2" customFormat="1" ht="14.1" customHeight="1" x14ac:dyDescent="0.2">
      <c r="B5" s="459" t="s">
        <v>40</v>
      </c>
      <c r="C5" s="460"/>
      <c r="D5" s="273">
        <v>340000</v>
      </c>
      <c r="E5" s="276">
        <v>367000</v>
      </c>
      <c r="F5" s="13">
        <f>SUM(D5:E5)</f>
        <v>707000</v>
      </c>
      <c r="G5" s="13">
        <f>6*K17</f>
        <v>11549.82</v>
      </c>
      <c r="H5" s="269">
        <f>F5-G5</f>
        <v>695450.18</v>
      </c>
      <c r="I5" s="453"/>
      <c r="J5" s="251" t="s">
        <v>85</v>
      </c>
      <c r="K5" s="252">
        <v>2685.08</v>
      </c>
      <c r="L5" s="147"/>
    </row>
    <row r="6" spans="2:16" s="2" customFormat="1" ht="14.1" customHeight="1" thickBot="1" x14ac:dyDescent="0.25">
      <c r="B6" s="472" t="s">
        <v>26</v>
      </c>
      <c r="C6" s="473"/>
      <c r="D6" s="274">
        <v>812000</v>
      </c>
      <c r="E6" s="277">
        <v>748000</v>
      </c>
      <c r="F6" s="270">
        <f>SUM(D6:E6)</f>
        <v>1560000</v>
      </c>
      <c r="G6" s="270">
        <f>10*K18</f>
        <v>21224.1</v>
      </c>
      <c r="H6" s="271">
        <f>F6-G6</f>
        <v>1538775.9</v>
      </c>
      <c r="I6" s="453"/>
      <c r="J6" s="253" t="s">
        <v>47</v>
      </c>
      <c r="K6" s="252">
        <v>1608.46</v>
      </c>
      <c r="L6" s="144"/>
    </row>
    <row r="7" spans="2:16" s="2" customFormat="1" ht="14.1" customHeight="1" thickBot="1" x14ac:dyDescent="0.25">
      <c r="B7" s="16"/>
      <c r="C7" s="16"/>
      <c r="D7" s="17"/>
      <c r="E7" s="17" t="s">
        <v>127</v>
      </c>
      <c r="F7" s="17"/>
      <c r="G7" s="17"/>
      <c r="H7" s="264"/>
      <c r="I7" s="18"/>
      <c r="J7" s="262" t="s">
        <v>98</v>
      </c>
      <c r="K7" s="263">
        <v>0.42389300000000002</v>
      </c>
      <c r="M7" s="470" t="s">
        <v>107</v>
      </c>
      <c r="N7" s="471"/>
      <c r="O7" s="147"/>
    </row>
    <row r="8" spans="2:16" s="2" customFormat="1" ht="14.1" customHeight="1" thickBot="1" x14ac:dyDescent="0.25">
      <c r="B8" s="412" t="s">
        <v>41</v>
      </c>
      <c r="C8" s="413" t="s">
        <v>25</v>
      </c>
      <c r="D8" s="414" t="s">
        <v>40</v>
      </c>
      <c r="E8" s="414" t="s">
        <v>32</v>
      </c>
      <c r="F8" s="414" t="s">
        <v>26</v>
      </c>
      <c r="G8" s="415" t="s">
        <v>42</v>
      </c>
      <c r="H8" s="17"/>
      <c r="I8" s="17"/>
      <c r="J8" s="254"/>
      <c r="K8" s="207"/>
      <c r="M8" s="205" t="s">
        <v>122</v>
      </c>
      <c r="N8" s="278">
        <v>4.3201000000000001</v>
      </c>
      <c r="O8" s="144"/>
    </row>
    <row r="9" spans="2:16" s="2" customFormat="1" ht="14.1" customHeight="1" x14ac:dyDescent="0.2">
      <c r="B9" s="391">
        <v>2024</v>
      </c>
      <c r="C9" s="22">
        <v>0</v>
      </c>
      <c r="D9" s="19">
        <v>0</v>
      </c>
      <c r="E9" s="19">
        <v>0</v>
      </c>
      <c r="F9" s="19">
        <v>0</v>
      </c>
      <c r="G9" s="393">
        <f t="shared" ref="G9:G22" si="0">SUM(D9:F9)</f>
        <v>0</v>
      </c>
      <c r="H9" s="17"/>
      <c r="I9" s="17"/>
      <c r="J9" s="455" t="s">
        <v>150</v>
      </c>
      <c r="K9" s="456"/>
      <c r="L9" s="8"/>
      <c r="M9" s="205" t="s">
        <v>123</v>
      </c>
      <c r="N9" s="207"/>
      <c r="O9" s="147"/>
    </row>
    <row r="10" spans="2:16" s="3" customFormat="1" ht="14.1" customHeight="1" thickBot="1" x14ac:dyDescent="0.25">
      <c r="B10" s="391">
        <v>2023</v>
      </c>
      <c r="C10" s="22">
        <v>0</v>
      </c>
      <c r="D10" s="19">
        <v>0</v>
      </c>
      <c r="E10" s="19">
        <v>0</v>
      </c>
      <c r="F10" s="19">
        <v>0</v>
      </c>
      <c r="G10" s="393">
        <f t="shared" si="0"/>
        <v>0</v>
      </c>
      <c r="H10" s="158"/>
      <c r="I10" s="17"/>
      <c r="J10" s="461" t="s">
        <v>99</v>
      </c>
      <c r="K10" s="474">
        <v>886.93</v>
      </c>
      <c r="L10" s="35"/>
      <c r="M10" s="208"/>
      <c r="N10" s="209"/>
      <c r="O10" s="148"/>
    </row>
    <row r="11" spans="2:16" s="2" customFormat="1" ht="14.1" customHeight="1" thickBot="1" x14ac:dyDescent="0.25">
      <c r="B11" s="391">
        <v>2022</v>
      </c>
      <c r="C11" s="22">
        <v>0</v>
      </c>
      <c r="D11" s="19">
        <v>0</v>
      </c>
      <c r="E11" s="19">
        <v>0</v>
      </c>
      <c r="F11" s="19">
        <v>0</v>
      </c>
      <c r="G11" s="393">
        <f t="shared" si="0"/>
        <v>0</v>
      </c>
      <c r="H11" s="121"/>
      <c r="I11" s="121"/>
      <c r="J11" s="462"/>
      <c r="K11" s="475"/>
      <c r="L11" s="35"/>
      <c r="M11" s="470" t="s">
        <v>108</v>
      </c>
      <c r="N11" s="471"/>
      <c r="O11" s="147"/>
    </row>
    <row r="12" spans="2:16" s="2" customFormat="1" ht="14.1" customHeight="1" thickBot="1" x14ac:dyDescent="0.25">
      <c r="B12" s="391">
        <v>2021</v>
      </c>
      <c r="C12" s="22">
        <v>0</v>
      </c>
      <c r="D12" s="19">
        <v>0</v>
      </c>
      <c r="E12" s="19">
        <v>0</v>
      </c>
      <c r="F12" s="19">
        <v>0</v>
      </c>
      <c r="G12" s="393">
        <f t="shared" si="0"/>
        <v>0</v>
      </c>
      <c r="H12" s="8"/>
      <c r="I12" s="8"/>
      <c r="J12" s="254"/>
      <c r="K12" s="207"/>
      <c r="L12" s="35"/>
      <c r="M12" s="210" t="s">
        <v>106</v>
      </c>
      <c r="N12" s="206">
        <v>2.2000000000000002</v>
      </c>
      <c r="O12" s="144"/>
    </row>
    <row r="13" spans="2:16" s="2" customFormat="1" ht="14.1" customHeight="1" thickBot="1" x14ac:dyDescent="0.25">
      <c r="B13" s="391">
        <v>2020</v>
      </c>
      <c r="C13" s="22">
        <v>0</v>
      </c>
      <c r="D13" s="19">
        <v>22</v>
      </c>
      <c r="E13" s="19">
        <v>9</v>
      </c>
      <c r="F13" s="19">
        <v>0</v>
      </c>
      <c r="G13" s="393">
        <f t="shared" si="0"/>
        <v>31</v>
      </c>
      <c r="H13" s="8"/>
      <c r="I13" s="26"/>
      <c r="J13" s="455"/>
      <c r="K13" s="456"/>
      <c r="L13" s="35"/>
      <c r="M13" s="211"/>
      <c r="N13" s="212"/>
      <c r="O13" s="149"/>
    </row>
    <row r="14" spans="2:16" s="2" customFormat="1" ht="14.1" customHeight="1" thickBot="1" x14ac:dyDescent="0.25">
      <c r="B14" s="391">
        <v>2019</v>
      </c>
      <c r="C14" s="22">
        <v>0</v>
      </c>
      <c r="D14" s="19">
        <v>30</v>
      </c>
      <c r="E14" s="19">
        <v>0</v>
      </c>
      <c r="F14" s="19">
        <v>0</v>
      </c>
      <c r="G14" s="393">
        <f t="shared" si="0"/>
        <v>30</v>
      </c>
      <c r="H14" s="8"/>
      <c r="I14" s="26"/>
      <c r="J14" s="260"/>
      <c r="K14" s="261"/>
      <c r="L14" s="173"/>
    </row>
    <row r="15" spans="2:16" s="2" customFormat="1" ht="14.1" customHeight="1" thickBot="1" x14ac:dyDescent="0.25">
      <c r="B15" s="391">
        <v>2018</v>
      </c>
      <c r="C15" s="22">
        <v>0</v>
      </c>
      <c r="D15" s="19">
        <v>7</v>
      </c>
      <c r="E15" s="19">
        <v>10</v>
      </c>
      <c r="F15" s="19">
        <v>0</v>
      </c>
      <c r="G15" s="393">
        <f t="shared" si="0"/>
        <v>17</v>
      </c>
      <c r="H15" s="8"/>
      <c r="I15" s="26"/>
      <c r="J15" s="254"/>
      <c r="K15" s="207"/>
      <c r="L15" s="35"/>
      <c r="M15" s="192"/>
      <c r="N15" s="150"/>
      <c r="O15" s="145"/>
    </row>
    <row r="16" spans="2:16" s="2" customFormat="1" ht="14.1" customHeight="1" x14ac:dyDescent="0.2">
      <c r="B16" s="391">
        <v>2017</v>
      </c>
      <c r="C16" s="22">
        <v>0</v>
      </c>
      <c r="D16" s="19">
        <v>25</v>
      </c>
      <c r="E16" s="19">
        <v>3</v>
      </c>
      <c r="F16" s="19">
        <v>0</v>
      </c>
      <c r="G16" s="393">
        <f t="shared" si="0"/>
        <v>28</v>
      </c>
      <c r="H16" s="8"/>
      <c r="I16" s="8"/>
      <c r="J16" s="464" t="s">
        <v>89</v>
      </c>
      <c r="K16" s="465"/>
      <c r="M16" s="192"/>
      <c r="N16" s="146"/>
      <c r="O16" s="145"/>
    </row>
    <row r="17" spans="2:22" s="2" customFormat="1" ht="14.1" customHeight="1" x14ac:dyDescent="0.2">
      <c r="B17" s="391">
        <v>2016</v>
      </c>
      <c r="C17" s="22">
        <v>0</v>
      </c>
      <c r="D17" s="19">
        <v>3</v>
      </c>
      <c r="E17" s="19">
        <v>0</v>
      </c>
      <c r="F17" s="19">
        <v>1</v>
      </c>
      <c r="G17" s="393">
        <f t="shared" si="0"/>
        <v>4</v>
      </c>
      <c r="H17" s="8"/>
      <c r="I17" s="8"/>
      <c r="J17" s="255" t="s">
        <v>90</v>
      </c>
      <c r="K17" s="256">
        <v>1924.97</v>
      </c>
      <c r="L17" s="478"/>
      <c r="M17" s="188"/>
      <c r="N17" s="479"/>
      <c r="O17" s="479"/>
    </row>
    <row r="18" spans="2:22" s="2" customFormat="1" ht="14.1" customHeight="1" x14ac:dyDescent="0.2">
      <c r="B18" s="391">
        <v>2015</v>
      </c>
      <c r="C18" s="22">
        <v>0</v>
      </c>
      <c r="D18" s="19">
        <v>2</v>
      </c>
      <c r="E18" s="19">
        <v>0</v>
      </c>
      <c r="F18" s="19">
        <v>0</v>
      </c>
      <c r="G18" s="393">
        <f t="shared" si="0"/>
        <v>2</v>
      </c>
      <c r="H18" s="8"/>
      <c r="I18" s="8"/>
      <c r="J18" s="257" t="s">
        <v>91</v>
      </c>
      <c r="K18" s="256">
        <v>2122.41</v>
      </c>
      <c r="L18" s="478"/>
      <c r="M18" s="188"/>
      <c r="N18" s="479"/>
      <c r="O18" s="479"/>
    </row>
    <row r="19" spans="2:22" s="2" customFormat="1" ht="14.1" customHeight="1" x14ac:dyDescent="0.2">
      <c r="B19" s="391">
        <v>2014</v>
      </c>
      <c r="C19" s="23">
        <v>0</v>
      </c>
      <c r="D19" s="20">
        <v>8</v>
      </c>
      <c r="E19" s="20">
        <v>0</v>
      </c>
      <c r="F19" s="20">
        <v>1</v>
      </c>
      <c r="G19" s="393">
        <f t="shared" si="0"/>
        <v>9</v>
      </c>
      <c r="H19" s="8"/>
      <c r="I19" s="8"/>
      <c r="J19" s="257" t="s">
        <v>92</v>
      </c>
      <c r="K19" s="256">
        <v>545</v>
      </c>
      <c r="L19" s="477"/>
      <c r="M19" s="188"/>
      <c r="N19" s="479"/>
      <c r="O19" s="479"/>
    </row>
    <row r="20" spans="2:22" s="2" customFormat="1" ht="14.1" customHeight="1" thickBot="1" x14ac:dyDescent="0.25">
      <c r="B20" s="391">
        <v>2013</v>
      </c>
      <c r="C20" s="23">
        <v>0</v>
      </c>
      <c r="D20" s="250">
        <v>23</v>
      </c>
      <c r="E20" s="250">
        <v>2</v>
      </c>
      <c r="F20" s="250">
        <v>8</v>
      </c>
      <c r="G20" s="417">
        <f t="shared" si="0"/>
        <v>33</v>
      </c>
      <c r="H20" s="8"/>
      <c r="I20" s="8"/>
      <c r="J20" s="258" t="s">
        <v>93</v>
      </c>
      <c r="K20" s="259">
        <v>585</v>
      </c>
      <c r="L20" s="477"/>
      <c r="M20" s="188"/>
      <c r="N20" s="479"/>
      <c r="O20" s="479"/>
    </row>
    <row r="21" spans="2:22" s="2" customFormat="1" ht="14.1" customHeight="1" x14ac:dyDescent="0.2">
      <c r="B21" s="392">
        <v>2012</v>
      </c>
      <c r="C21" s="186">
        <v>0</v>
      </c>
      <c r="D21" s="250">
        <v>10</v>
      </c>
      <c r="E21" s="250">
        <v>15</v>
      </c>
      <c r="F21" s="250">
        <v>4</v>
      </c>
      <c r="G21" s="417">
        <f t="shared" si="0"/>
        <v>29</v>
      </c>
      <c r="H21" s="8"/>
      <c r="I21" s="8"/>
      <c r="J21" s="8"/>
      <c r="K21" s="168"/>
      <c r="L21" s="27"/>
      <c r="M21" s="188"/>
      <c r="N21" s="479"/>
      <c r="O21" s="479"/>
    </row>
    <row r="22" spans="2:22" s="2" customFormat="1" ht="14.1" customHeight="1" thickBot="1" x14ac:dyDescent="0.25">
      <c r="B22" s="392">
        <v>2011</v>
      </c>
      <c r="C22" s="186">
        <v>0</v>
      </c>
      <c r="D22" s="187">
        <v>0</v>
      </c>
      <c r="E22" s="187">
        <v>0</v>
      </c>
      <c r="F22" s="187">
        <v>0</v>
      </c>
      <c r="G22" s="393">
        <f t="shared" si="0"/>
        <v>0</v>
      </c>
      <c r="H22" s="8"/>
      <c r="I22" s="8"/>
      <c r="J22" s="476" t="s">
        <v>134</v>
      </c>
      <c r="K22" s="476"/>
      <c r="L22" s="27"/>
      <c r="M22" s="188"/>
      <c r="N22" s="479"/>
      <c r="O22" s="479"/>
    </row>
    <row r="23" spans="2:22" s="2" customFormat="1" ht="15" customHeight="1" x14ac:dyDescent="0.2">
      <c r="B23" s="392">
        <v>2010</v>
      </c>
      <c r="C23" s="186">
        <v>0</v>
      </c>
      <c r="D23" s="250">
        <v>5</v>
      </c>
      <c r="E23" s="250">
        <v>2</v>
      </c>
      <c r="F23" s="416">
        <v>6</v>
      </c>
      <c r="G23" s="417">
        <f>SUM(D23:F23)</f>
        <v>13</v>
      </c>
      <c r="H23" s="8"/>
      <c r="I23" s="8"/>
      <c r="J23" s="464" t="s">
        <v>86</v>
      </c>
      <c r="K23" s="465"/>
      <c r="L23" s="27"/>
      <c r="M23" s="188"/>
      <c r="N23" s="479"/>
      <c r="O23" s="479"/>
      <c r="P23"/>
      <c r="Q23" s="139"/>
      <c r="R23" s="139"/>
      <c r="S23" s="132"/>
    </row>
    <row r="24" spans="2:22" s="2" customFormat="1" ht="9.75" customHeight="1" x14ac:dyDescent="0.2">
      <c r="B24" s="394" t="s">
        <v>22</v>
      </c>
      <c r="C24" s="24">
        <f>SUM(C10:C23)</f>
        <v>0</v>
      </c>
      <c r="D24" s="21">
        <f>SUM(D10:D19)</f>
        <v>97</v>
      </c>
      <c r="E24" s="21">
        <f>SUM(E10:E19)</f>
        <v>22</v>
      </c>
      <c r="F24" s="21">
        <f>SUM(F11:F19)</f>
        <v>2</v>
      </c>
      <c r="G24" s="395">
        <f>SUM(C24:F24)</f>
        <v>121</v>
      </c>
      <c r="H24" s="8"/>
      <c r="I24" s="8"/>
      <c r="J24" s="255" t="s">
        <v>87</v>
      </c>
      <c r="K24" s="331">
        <v>196</v>
      </c>
      <c r="L24" s="27"/>
      <c r="M24" s="188"/>
      <c r="N24" s="479"/>
      <c r="O24" s="479"/>
      <c r="P24" s="133"/>
      <c r="Q24" s="132"/>
      <c r="R24" s="132"/>
      <c r="S24" s="132"/>
    </row>
    <row r="25" spans="2:22" s="2" customFormat="1" ht="10.5" customHeight="1" x14ac:dyDescent="0.2">
      <c r="B25" s="396"/>
      <c r="C25" s="390"/>
      <c r="D25" s="390"/>
      <c r="E25" s="468" t="s">
        <v>129</v>
      </c>
      <c r="F25" s="468"/>
      <c r="G25" s="397"/>
      <c r="H25" s="8"/>
      <c r="I25" s="8"/>
      <c r="J25" s="257" t="s">
        <v>103</v>
      </c>
      <c r="K25" s="332">
        <v>90.94</v>
      </c>
      <c r="L25" s="25"/>
      <c r="M25" s="188"/>
      <c r="N25" s="479"/>
      <c r="O25" s="479"/>
      <c r="P25" s="133"/>
      <c r="Q25" s="132"/>
      <c r="R25" s="132"/>
      <c r="S25" s="132"/>
    </row>
    <row r="26" spans="2:22" s="2" customFormat="1" ht="14.1" customHeight="1" x14ac:dyDescent="0.2">
      <c r="B26" s="466" t="s">
        <v>124</v>
      </c>
      <c r="C26" s="467"/>
      <c r="D26" s="398"/>
      <c r="E26" s="398"/>
      <c r="F26" s="398"/>
      <c r="G26" s="399"/>
      <c r="H26" s="158"/>
      <c r="I26" s="26"/>
      <c r="J26" s="257" t="s">
        <v>104</v>
      </c>
      <c r="K26" s="332">
        <f>163.85*12</f>
        <v>1966.1999999999998</v>
      </c>
      <c r="L26" s="267"/>
      <c r="M26" s="188"/>
      <c r="N26" s="145"/>
      <c r="O26" s="145"/>
      <c r="P26" s="131"/>
      <c r="Q26" s="132"/>
      <c r="R26" s="132"/>
      <c r="S26" s="132"/>
      <c r="T26" s="134"/>
      <c r="U26" s="134"/>
      <c r="V26" s="135"/>
    </row>
    <row r="27" spans="2:22" s="2" customFormat="1" ht="15" customHeight="1" thickBot="1" x14ac:dyDescent="0.25">
      <c r="B27" s="400" t="s">
        <v>54</v>
      </c>
      <c r="C27" s="33">
        <v>0</v>
      </c>
      <c r="D27" s="34">
        <v>116</v>
      </c>
      <c r="E27" s="34">
        <v>21</v>
      </c>
      <c r="F27" s="34">
        <v>14</v>
      </c>
      <c r="G27" s="401">
        <f>SUM(C27:F27)</f>
        <v>151</v>
      </c>
      <c r="H27" s="8"/>
      <c r="I27" s="8"/>
      <c r="J27" s="258" t="s">
        <v>88</v>
      </c>
      <c r="K27" s="333">
        <f>K26+K25</f>
        <v>2057.14</v>
      </c>
      <c r="L27" s="25"/>
      <c r="M27" s="188"/>
      <c r="N27" s="145"/>
      <c r="O27" s="145"/>
      <c r="P27" s="133"/>
      <c r="Q27" s="132"/>
      <c r="R27" s="132"/>
      <c r="S27" s="132"/>
    </row>
    <row r="28" spans="2:22" s="2" customFormat="1" ht="12.75" x14ac:dyDescent="0.2">
      <c r="B28" s="402"/>
      <c r="C28" s="403"/>
      <c r="D28" s="403"/>
      <c r="E28" s="403"/>
      <c r="F28" s="403"/>
      <c r="G28" s="404"/>
      <c r="H28" s="1"/>
      <c r="I28" s="1"/>
      <c r="J28" s="35"/>
      <c r="K28" s="330" t="s">
        <v>105</v>
      </c>
      <c r="M28" s="145"/>
      <c r="N28" s="145"/>
      <c r="O28" s="145"/>
      <c r="P28" s="133"/>
      <c r="Q28" s="132"/>
      <c r="R28" s="132"/>
      <c r="S28" s="132"/>
    </row>
    <row r="29" spans="2:22" ht="12.75" x14ac:dyDescent="0.2">
      <c r="B29" s="405" t="s">
        <v>43</v>
      </c>
      <c r="C29" s="193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193">
        <v>5.95</v>
      </c>
      <c r="E29" s="193">
        <v>5.32</v>
      </c>
      <c r="F29" s="193">
        <v>9</v>
      </c>
      <c r="G29" s="406">
        <v>5.88</v>
      </c>
      <c r="J29" s="190" t="s">
        <v>94</v>
      </c>
      <c r="K29" s="191" t="s">
        <v>105</v>
      </c>
      <c r="M29" s="145"/>
      <c r="N29" s="145"/>
      <c r="O29" s="151"/>
      <c r="P29" s="133"/>
      <c r="Q29" s="132"/>
      <c r="R29" s="132"/>
      <c r="S29" s="132"/>
    </row>
    <row r="30" spans="2:22" ht="12.75" x14ac:dyDescent="0.2">
      <c r="B30" s="400" t="s">
        <v>121</v>
      </c>
      <c r="C30" s="165"/>
      <c r="D30" s="166">
        <v>0</v>
      </c>
      <c r="E30" s="166">
        <f>((E24-E27)/E24)</f>
        <v>4.5454545454545456E-2</v>
      </c>
      <c r="F30" s="166">
        <v>0</v>
      </c>
      <c r="G30" s="407">
        <v>0</v>
      </c>
      <c r="J30" s="50" t="s">
        <v>95</v>
      </c>
      <c r="K30" s="155">
        <v>0</v>
      </c>
      <c r="M30" s="152"/>
      <c r="N30" s="145"/>
      <c r="O30" s="151"/>
      <c r="P30" s="133"/>
      <c r="Q30" s="132"/>
      <c r="R30" s="132"/>
      <c r="S30" s="132"/>
    </row>
    <row r="31" spans="2:22" ht="13.5" thickBot="1" x14ac:dyDescent="0.25">
      <c r="B31" s="408"/>
      <c r="C31" s="409"/>
      <c r="D31" s="410" t="s">
        <v>151</v>
      </c>
      <c r="E31" s="410"/>
      <c r="F31" s="409"/>
      <c r="G31" s="411"/>
      <c r="J31" s="50" t="s">
        <v>100</v>
      </c>
      <c r="K31" s="155">
        <v>0</v>
      </c>
      <c r="M31" s="144"/>
      <c r="N31" s="151"/>
      <c r="O31" s="151"/>
      <c r="P31" s="131"/>
      <c r="Q31" s="132"/>
      <c r="R31" s="132"/>
      <c r="S31" s="132"/>
    </row>
    <row r="32" spans="2:22" ht="12.75" x14ac:dyDescent="0.2">
      <c r="F32" s="159"/>
      <c r="J32" s="50" t="s">
        <v>101</v>
      </c>
      <c r="K32" s="155">
        <v>0</v>
      </c>
      <c r="M32" s="151"/>
      <c r="N32" s="151"/>
      <c r="O32" s="151"/>
      <c r="P32" s="133"/>
      <c r="Q32" s="132"/>
      <c r="R32" s="132"/>
      <c r="S32" s="132"/>
    </row>
    <row r="33" spans="2:21" ht="12.75" x14ac:dyDescent="0.2">
      <c r="B33" s="185" t="s">
        <v>125</v>
      </c>
      <c r="C33" s="185"/>
      <c r="D33" s="185"/>
      <c r="J33" s="51" t="s">
        <v>102</v>
      </c>
      <c r="K33" s="155">
        <v>0</v>
      </c>
      <c r="M33" s="151"/>
      <c r="N33" s="151"/>
      <c r="O33" s="151"/>
      <c r="P33" s="133"/>
      <c r="Q33" s="132"/>
      <c r="R33" s="132"/>
      <c r="S33" s="132"/>
    </row>
    <row r="34" spans="2:21" ht="15" x14ac:dyDescent="0.25">
      <c r="B34" s="162" t="s">
        <v>119</v>
      </c>
      <c r="C34" s="162" t="s">
        <v>111</v>
      </c>
      <c r="D34" s="162" t="s">
        <v>112</v>
      </c>
      <c r="E34" s="162" t="s">
        <v>21</v>
      </c>
      <c r="J34" s="51" t="s">
        <v>118</v>
      </c>
      <c r="K34" s="155">
        <v>0</v>
      </c>
      <c r="M34" s="153"/>
      <c r="N34" s="151"/>
      <c r="O34" s="151"/>
      <c r="P34" s="131"/>
      <c r="Q34" s="132"/>
      <c r="R34" s="132"/>
      <c r="S34" s="132"/>
    </row>
    <row r="35" spans="2:21" ht="12.75" x14ac:dyDescent="0.2">
      <c r="B35" s="163" t="s">
        <v>26</v>
      </c>
      <c r="C35" s="164">
        <v>20</v>
      </c>
      <c r="D35" s="164">
        <v>0</v>
      </c>
      <c r="E35" s="164">
        <f>D35+C35</f>
        <v>20</v>
      </c>
      <c r="J35" s="52" t="s">
        <v>88</v>
      </c>
      <c r="K35" s="156">
        <v>0</v>
      </c>
      <c r="M35" s="167"/>
      <c r="N35" s="151"/>
      <c r="O35" s="151"/>
    </row>
    <row r="36" spans="2:21" ht="12.75" x14ac:dyDescent="0.2">
      <c r="B36" s="163" t="s">
        <v>113</v>
      </c>
      <c r="C36" s="164">
        <v>156</v>
      </c>
      <c r="D36" s="164">
        <v>0</v>
      </c>
      <c r="E36" s="164">
        <f>D36+C36</f>
        <v>156</v>
      </c>
      <c r="J36" s="144"/>
      <c r="K36" s="154"/>
      <c r="M36" s="156"/>
      <c r="N36" s="151"/>
      <c r="O36" s="151"/>
    </row>
    <row r="37" spans="2:21" ht="12.75" x14ac:dyDescent="0.2">
      <c r="B37" s="163" t="s">
        <v>114</v>
      </c>
      <c r="C37" s="164">
        <v>41</v>
      </c>
      <c r="D37" s="164">
        <v>0</v>
      </c>
      <c r="E37" s="164">
        <f>D37+C37</f>
        <v>41</v>
      </c>
      <c r="M37" s="151"/>
      <c r="N37" s="151"/>
      <c r="O37" s="151"/>
    </row>
    <row r="38" spans="2:21" ht="12.75" x14ac:dyDescent="0.2">
      <c r="M38" s="151"/>
      <c r="N38" s="151"/>
      <c r="O38" s="151"/>
      <c r="Q38" s="136"/>
      <c r="R38" s="136"/>
      <c r="S38" s="136"/>
      <c r="T38" s="137"/>
      <c r="U38" s="137"/>
    </row>
    <row r="39" spans="2:21" ht="15" x14ac:dyDescent="0.25">
      <c r="B39" s="162" t="s">
        <v>119</v>
      </c>
      <c r="C39" s="162" t="s">
        <v>111</v>
      </c>
      <c r="D39" s="162" t="s">
        <v>112</v>
      </c>
      <c r="E39" s="162" t="s">
        <v>21</v>
      </c>
    </row>
    <row r="40" spans="2:21" ht="12.75" x14ac:dyDescent="0.2">
      <c r="B40" s="163" t="s">
        <v>26</v>
      </c>
      <c r="C40" s="139">
        <f>C35/E35</f>
        <v>1</v>
      </c>
      <c r="D40" s="139">
        <f>D35/E35</f>
        <v>0</v>
      </c>
      <c r="E40" s="164">
        <f>D40+C40</f>
        <v>1</v>
      </c>
      <c r="J40" s="463"/>
      <c r="Q40" s="136"/>
      <c r="R40" s="136"/>
      <c r="S40" s="136"/>
      <c r="T40" s="137"/>
      <c r="U40" s="137"/>
    </row>
    <row r="41" spans="2:21" ht="12.75" customHeight="1" x14ac:dyDescent="0.2">
      <c r="B41" s="163" t="s">
        <v>113</v>
      </c>
      <c r="C41" s="139">
        <f>C36/E36</f>
        <v>1</v>
      </c>
      <c r="D41" s="139">
        <f>D36/E36</f>
        <v>0</v>
      </c>
      <c r="E41" s="164">
        <f>D41+C41</f>
        <v>1</v>
      </c>
      <c r="J41" s="463"/>
    </row>
    <row r="42" spans="2:21" ht="12.75" customHeight="1" x14ac:dyDescent="0.2">
      <c r="B42" s="163" t="s">
        <v>114</v>
      </c>
      <c r="C42" s="139">
        <f>C37/E37</f>
        <v>1</v>
      </c>
      <c r="D42" s="139">
        <f>D37/E37</f>
        <v>0</v>
      </c>
      <c r="E42" s="164">
        <f>D42+C42</f>
        <v>1</v>
      </c>
      <c r="J42" s="463"/>
    </row>
    <row r="43" spans="2:21" ht="12.75" customHeight="1" x14ac:dyDescent="0.2">
      <c r="I43" s="26"/>
      <c r="J43" s="463"/>
      <c r="K43" s="26"/>
    </row>
    <row r="44" spans="2:21" ht="12.75" customHeight="1" x14ac:dyDescent="0.2">
      <c r="J44" s="463"/>
      <c r="K44" s="137"/>
    </row>
    <row r="45" spans="2:21" ht="12.75" customHeight="1" x14ac:dyDescent="0.2">
      <c r="J45" s="463"/>
    </row>
    <row r="48" spans="2:21" x14ac:dyDescent="0.2">
      <c r="H48" s="157"/>
      <c r="K48" s="129"/>
    </row>
    <row r="49" spans="3:8" x14ac:dyDescent="0.2">
      <c r="C49" s="454"/>
      <c r="D49" s="454"/>
      <c r="E49" s="17"/>
      <c r="F49" s="17"/>
      <c r="H49" s="157"/>
    </row>
    <row r="50" spans="3:8" x14ac:dyDescent="0.2">
      <c r="C50" s="454"/>
      <c r="D50" s="454"/>
      <c r="E50" s="17"/>
      <c r="F50" s="17"/>
      <c r="H50" s="157"/>
    </row>
  </sheetData>
  <mergeCells count="25">
    <mergeCell ref="M4:N4"/>
    <mergeCell ref="M11:N11"/>
    <mergeCell ref="B6:C6"/>
    <mergeCell ref="K10:K11"/>
    <mergeCell ref="J22:K22"/>
    <mergeCell ref="L19:L20"/>
    <mergeCell ref="L17:L18"/>
    <mergeCell ref="N17:O25"/>
    <mergeCell ref="M7:N7"/>
    <mergeCell ref="B2:H2"/>
    <mergeCell ref="I4:I6"/>
    <mergeCell ref="C49:D49"/>
    <mergeCell ref="C50:D50"/>
    <mergeCell ref="J3:K3"/>
    <mergeCell ref="B3:C3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showGridLines="0" tabSelected="1" topLeftCell="B40" zoomScale="118" zoomScaleNormal="118" workbookViewId="0">
      <selection activeCell="O61" sqref="O61"/>
    </sheetView>
  </sheetViews>
  <sheetFormatPr defaultColWidth="8.875" defaultRowHeight="11.25" x14ac:dyDescent="0.2"/>
  <cols>
    <col min="1" max="1" width="5.625" style="5" customWidth="1"/>
    <col min="2" max="2" width="25.625" style="5" customWidth="1"/>
    <col min="3" max="3" width="8.625" style="5" customWidth="1"/>
    <col min="4" max="4" width="9.5" style="5" bestFit="1" customWidth="1"/>
    <col min="5" max="6" width="8.625" style="5" customWidth="1"/>
    <col min="7" max="7" width="9.5" style="5" bestFit="1" customWidth="1"/>
    <col min="8" max="9" width="8.625" style="5" customWidth="1"/>
    <col min="10" max="10" width="9.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" style="5" customWidth="1"/>
    <col min="16" max="16" width="14" style="120" customWidth="1"/>
    <col min="17" max="17" width="8.125" style="5" customWidth="1"/>
    <col min="18" max="18" width="19.75" style="5" customWidth="1"/>
    <col min="19" max="19" width="17" style="5" customWidth="1"/>
    <col min="20" max="20" width="18.75" style="5" customWidth="1"/>
    <col min="21" max="16384" width="8.875" style="5"/>
  </cols>
  <sheetData>
    <row r="1" spans="2:20" x14ac:dyDescent="0.2">
      <c r="B1" s="4"/>
      <c r="E1" s="6"/>
      <c r="F1" s="6"/>
      <c r="G1" s="6"/>
      <c r="H1" s="6"/>
      <c r="K1" s="6"/>
      <c r="M1" s="6"/>
    </row>
    <row r="2" spans="2:20" ht="15" customHeight="1" x14ac:dyDescent="0.2">
      <c r="B2" s="512" t="s">
        <v>155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36"/>
      <c r="O2" s="36"/>
      <c r="P2" s="37"/>
    </row>
    <row r="3" spans="2:20" ht="5.0999999999999996" customHeight="1" thickBo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  <c r="P3" s="37"/>
    </row>
    <row r="4" spans="2:20" ht="14.1" customHeight="1" x14ac:dyDescent="0.2">
      <c r="B4" s="213" t="s">
        <v>24</v>
      </c>
      <c r="C4" s="532" t="s">
        <v>32</v>
      </c>
      <c r="D4" s="533"/>
      <c r="E4" s="533"/>
      <c r="F4" s="533" t="s">
        <v>40</v>
      </c>
      <c r="G4" s="533" t="s">
        <v>40</v>
      </c>
      <c r="H4" s="533"/>
      <c r="I4" s="533" t="s">
        <v>26</v>
      </c>
      <c r="J4" s="533"/>
      <c r="K4" s="534"/>
      <c r="L4" s="513" t="s">
        <v>27</v>
      </c>
      <c r="M4" s="514"/>
      <c r="N4" s="36"/>
      <c r="O4" s="36"/>
      <c r="P4" s="37"/>
    </row>
    <row r="5" spans="2:20" ht="14.1" customHeight="1" x14ac:dyDescent="0.2">
      <c r="B5" s="214" t="s">
        <v>131</v>
      </c>
      <c r="C5" s="536">
        <v>22</v>
      </c>
      <c r="D5" s="537"/>
      <c r="E5" s="537"/>
      <c r="F5" s="521">
        <v>97</v>
      </c>
      <c r="G5" s="521"/>
      <c r="H5" s="521"/>
      <c r="I5" s="521">
        <v>2</v>
      </c>
      <c r="J5" s="521"/>
      <c r="K5" s="522"/>
      <c r="L5" s="523">
        <f>SUM(C5:K5)</f>
        <v>121</v>
      </c>
      <c r="M5" s="524"/>
      <c r="N5" s="36"/>
      <c r="O5" s="36"/>
      <c r="P5" s="37"/>
    </row>
    <row r="6" spans="2:20" ht="14.1" customHeight="1" x14ac:dyDescent="0.2">
      <c r="B6" s="215" t="s">
        <v>136</v>
      </c>
      <c r="C6" s="539">
        <v>41</v>
      </c>
      <c r="D6" s="527"/>
      <c r="E6" s="528"/>
      <c r="F6" s="526">
        <v>135</v>
      </c>
      <c r="G6" s="527"/>
      <c r="H6" s="528"/>
      <c r="I6" s="526">
        <v>20</v>
      </c>
      <c r="J6" s="527"/>
      <c r="K6" s="540"/>
      <c r="L6" s="539">
        <f>SUM(C6:K6)</f>
        <v>196</v>
      </c>
      <c r="M6" s="541"/>
      <c r="N6" s="36"/>
    </row>
    <row r="7" spans="2:20" ht="14.1" customHeight="1" x14ac:dyDescent="0.2">
      <c r="B7" s="214" t="s">
        <v>63</v>
      </c>
      <c r="C7" s="538">
        <f>'FROTA E CUSTOS'!E27</f>
        <v>21</v>
      </c>
      <c r="D7" s="521"/>
      <c r="E7" s="521"/>
      <c r="F7" s="521">
        <f>'FROTA E CUSTOS'!D27</f>
        <v>116</v>
      </c>
      <c r="G7" s="521"/>
      <c r="H7" s="521"/>
      <c r="I7" s="521">
        <f>'FROTA E CUSTOS'!F27</f>
        <v>14</v>
      </c>
      <c r="J7" s="521"/>
      <c r="K7" s="522"/>
      <c r="L7" s="523">
        <f>SUM(C7:K7)</f>
        <v>151</v>
      </c>
      <c r="M7" s="524"/>
      <c r="N7" s="36"/>
      <c r="O7" s="36"/>
      <c r="P7" s="37"/>
    </row>
    <row r="8" spans="2:20" ht="14.1" customHeight="1" x14ac:dyDescent="0.2">
      <c r="B8" s="214" t="s">
        <v>64</v>
      </c>
      <c r="C8" s="496">
        <f>'KM, PASSAGEIROS E PESSOAL'!G9</f>
        <v>159695.47</v>
      </c>
      <c r="D8" s="497"/>
      <c r="E8" s="61">
        <f>C8/L8</f>
        <v>0.16286338830547081</v>
      </c>
      <c r="F8" s="525">
        <f>'KM, PASSAGEIROS E PESSOAL'!H9</f>
        <v>743212.15800000005</v>
      </c>
      <c r="G8" s="497"/>
      <c r="H8" s="61">
        <f>F8/L8</f>
        <v>0.75795544032464379</v>
      </c>
      <c r="I8" s="525">
        <f>'KM, PASSAGEIROS E PESSOAL'!I9</f>
        <v>77640.987999999998</v>
      </c>
      <c r="J8" s="497"/>
      <c r="K8" s="62">
        <f>I8/L8</f>
        <v>7.9181171369885436E-2</v>
      </c>
      <c r="L8" s="515">
        <f>SUM(C8,F8,I8)</f>
        <v>980548.61600000004</v>
      </c>
      <c r="M8" s="516"/>
      <c r="N8" s="36"/>
      <c r="O8" s="36"/>
      <c r="P8" s="37"/>
    </row>
    <row r="9" spans="2:20" ht="14.1" customHeight="1" x14ac:dyDescent="0.2">
      <c r="B9" s="214" t="s">
        <v>109</v>
      </c>
      <c r="C9" s="496">
        <f>E9*C8</f>
        <v>0</v>
      </c>
      <c r="D9" s="497"/>
      <c r="E9" s="61">
        <f>'FROTA E CUSTOS'!D42</f>
        <v>0</v>
      </c>
      <c r="F9" s="496">
        <f>H9*F8</f>
        <v>0</v>
      </c>
      <c r="G9" s="497"/>
      <c r="H9" s="61">
        <f>'FROTA E CUSTOS'!D41</f>
        <v>0</v>
      </c>
      <c r="I9" s="496">
        <f>K9*I8</f>
        <v>0</v>
      </c>
      <c r="J9" s="497"/>
      <c r="K9" s="62">
        <f>'FROTA E CUSTOS'!D40</f>
        <v>0</v>
      </c>
      <c r="L9" s="484">
        <f>(I9+F9+C9)/L8</f>
        <v>0</v>
      </c>
      <c r="M9" s="485"/>
      <c r="N9" s="36"/>
      <c r="O9" s="36"/>
      <c r="P9" s="37"/>
    </row>
    <row r="10" spans="2:20" ht="14.1" customHeight="1" x14ac:dyDescent="0.2">
      <c r="B10" s="214" t="s">
        <v>110</v>
      </c>
      <c r="C10" s="496">
        <f>E10*C8</f>
        <v>159695.47</v>
      </c>
      <c r="D10" s="497"/>
      <c r="E10" s="61">
        <f>'FROTA E CUSTOS'!C42</f>
        <v>1</v>
      </c>
      <c r="F10" s="496">
        <f>H10*F8</f>
        <v>743212.15800000005</v>
      </c>
      <c r="G10" s="497"/>
      <c r="H10" s="61">
        <f>'FROTA E CUSTOS'!C41</f>
        <v>1</v>
      </c>
      <c r="I10" s="496">
        <f>K10*I8</f>
        <v>77640.987999999998</v>
      </c>
      <c r="J10" s="497"/>
      <c r="K10" s="62">
        <f>'FROTA E CUSTOS'!C40</f>
        <v>1</v>
      </c>
      <c r="L10" s="484">
        <f>(I10+F10+C10)/L8</f>
        <v>1</v>
      </c>
      <c r="M10" s="485"/>
      <c r="N10" s="36"/>
      <c r="P10" s="5"/>
    </row>
    <row r="11" spans="2:20" ht="14.1" customHeight="1" x14ac:dyDescent="0.2">
      <c r="B11" s="214" t="s">
        <v>65</v>
      </c>
      <c r="C11" s="520">
        <f>C8/C7</f>
        <v>7604.5461904761905</v>
      </c>
      <c r="D11" s="500"/>
      <c r="E11" s="500"/>
      <c r="F11" s="500">
        <f>F8/F7</f>
        <v>6407.001362068966</v>
      </c>
      <c r="G11" s="500"/>
      <c r="H11" s="500"/>
      <c r="I11" s="500">
        <f>I8/I7</f>
        <v>5545.7848571428567</v>
      </c>
      <c r="J11" s="500"/>
      <c r="K11" s="535"/>
      <c r="L11" s="498">
        <f>L8/L7</f>
        <v>6493.6994437086096</v>
      </c>
      <c r="M11" s="499"/>
      <c r="N11" s="36"/>
    </row>
    <row r="12" spans="2:20" ht="14.1" customHeight="1" x14ac:dyDescent="0.2">
      <c r="B12" s="215" t="s">
        <v>132</v>
      </c>
      <c r="C12" s="529">
        <f>C8/C6</f>
        <v>3895.0114634146344</v>
      </c>
      <c r="D12" s="530"/>
      <c r="E12" s="530"/>
      <c r="F12" s="501">
        <f>F8/F6</f>
        <v>5505.275244444445</v>
      </c>
      <c r="G12" s="502"/>
      <c r="H12" s="503"/>
      <c r="I12" s="501">
        <f>I8/I6</f>
        <v>3882.0493999999999</v>
      </c>
      <c r="J12" s="502"/>
      <c r="K12" s="503"/>
      <c r="L12" s="194"/>
      <c r="M12" s="216"/>
      <c r="N12" s="36"/>
      <c r="P12" s="5"/>
    </row>
    <row r="13" spans="2:20" ht="14.1" customHeight="1" x14ac:dyDescent="0.2">
      <c r="B13" s="214" t="s">
        <v>130</v>
      </c>
      <c r="C13" s="520">
        <f>C8/C5</f>
        <v>7258.8850000000002</v>
      </c>
      <c r="D13" s="500"/>
      <c r="E13" s="500"/>
      <c r="F13" s="500">
        <f>F8/F5</f>
        <v>7661.9810103092786</v>
      </c>
      <c r="G13" s="500"/>
      <c r="H13" s="500"/>
      <c r="I13" s="500">
        <f>I8/I5</f>
        <v>38820.493999999999</v>
      </c>
      <c r="J13" s="500"/>
      <c r="K13" s="535"/>
      <c r="L13" s="498">
        <f>L8/L5</f>
        <v>8103.7075702479342</v>
      </c>
      <c r="M13" s="499"/>
      <c r="N13" s="36"/>
      <c r="P13" s="5"/>
    </row>
    <row r="14" spans="2:20" ht="14.1" customHeight="1" x14ac:dyDescent="0.2">
      <c r="B14" s="517" t="s">
        <v>66</v>
      </c>
      <c r="C14" s="518"/>
      <c r="D14" s="518"/>
      <c r="E14" s="518"/>
      <c r="F14" s="518"/>
      <c r="G14" s="518"/>
      <c r="H14" s="518"/>
      <c r="I14" s="518"/>
      <c r="J14" s="518"/>
      <c r="K14" s="519"/>
      <c r="L14" s="383">
        <f>'KM, PASSAGEIROS E PESSOAL'!C14</f>
        <v>1611493</v>
      </c>
      <c r="M14" s="384"/>
      <c r="N14" s="124"/>
      <c r="P14" s="5"/>
    </row>
    <row r="15" spans="2:20" ht="9" customHeight="1" x14ac:dyDescent="0.2"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220"/>
      <c r="N15" s="36"/>
      <c r="P15" s="5"/>
    </row>
    <row r="16" spans="2:20" ht="14.1" customHeight="1" x14ac:dyDescent="0.2">
      <c r="B16" s="504" t="s">
        <v>28</v>
      </c>
      <c r="C16" s="506" t="s">
        <v>32</v>
      </c>
      <c r="D16" s="482"/>
      <c r="E16" s="483"/>
      <c r="F16" s="506" t="s">
        <v>40</v>
      </c>
      <c r="G16" s="482" t="s">
        <v>40</v>
      </c>
      <c r="H16" s="511"/>
      <c r="I16" s="481" t="s">
        <v>26</v>
      </c>
      <c r="J16" s="482"/>
      <c r="K16" s="483"/>
      <c r="L16" s="506" t="s">
        <v>67</v>
      </c>
      <c r="M16" s="507"/>
      <c r="N16" s="36"/>
      <c r="P16" s="5"/>
      <c r="T16" s="5">
        <v>12</v>
      </c>
    </row>
    <row r="17" spans="2:17" ht="14.1" customHeight="1" x14ac:dyDescent="0.2">
      <c r="B17" s="505"/>
      <c r="C17" s="82" t="s">
        <v>68</v>
      </c>
      <c r="D17" s="83" t="s">
        <v>69</v>
      </c>
      <c r="E17" s="84" t="s">
        <v>70</v>
      </c>
      <c r="F17" s="82" t="s">
        <v>68</v>
      </c>
      <c r="G17" s="83" t="s">
        <v>69</v>
      </c>
      <c r="H17" s="85" t="s">
        <v>70</v>
      </c>
      <c r="I17" s="86" t="s">
        <v>68</v>
      </c>
      <c r="J17" s="83" t="s">
        <v>69</v>
      </c>
      <c r="K17" s="83" t="s">
        <v>70</v>
      </c>
      <c r="L17" s="82" t="s">
        <v>71</v>
      </c>
      <c r="M17" s="222" t="s">
        <v>2</v>
      </c>
      <c r="N17" s="36"/>
      <c r="P17" s="5"/>
    </row>
    <row r="18" spans="2:17" ht="9.9499999999999993" customHeight="1" x14ac:dyDescent="0.2">
      <c r="B18" s="217"/>
      <c r="C18" s="219"/>
      <c r="D18" s="219"/>
      <c r="E18" s="219"/>
      <c r="F18" s="219"/>
      <c r="G18" s="219"/>
      <c r="H18" s="219"/>
      <c r="I18" s="219"/>
      <c r="J18" s="219"/>
      <c r="K18" s="219"/>
      <c r="L18" s="218"/>
      <c r="M18" s="223"/>
      <c r="N18" s="36"/>
      <c r="P18" s="5"/>
    </row>
    <row r="19" spans="2:17" ht="15" customHeight="1" x14ac:dyDescent="0.2">
      <c r="B19" s="224" t="s">
        <v>73</v>
      </c>
      <c r="C19" s="87"/>
      <c r="D19" s="88"/>
      <c r="E19" s="89">
        <f>SUM(E20:E27)</f>
        <v>1.7562934325714288</v>
      </c>
      <c r="F19" s="90"/>
      <c r="G19" s="91"/>
      <c r="H19" s="92">
        <f>SUM(H20:H27)</f>
        <v>2.0034898925714284</v>
      </c>
      <c r="I19" s="93"/>
      <c r="J19" s="91"/>
      <c r="K19" s="89">
        <f>SUM(K20:K27)</f>
        <v>3.7904711614999997</v>
      </c>
      <c r="L19" s="94">
        <f t="shared" ref="L19:L27" si="0">($E19*$E$8)+($H19*$H$8)+($K19*$K$8)</f>
        <v>2.1047259096085194</v>
      </c>
      <c r="M19" s="225">
        <f t="shared" ref="M19:M27" si="1">L19/$L$52</f>
        <v>0.23407766705878955</v>
      </c>
      <c r="N19" s="36"/>
      <c r="P19" s="5"/>
    </row>
    <row r="20" spans="2:17" ht="15" customHeight="1" x14ac:dyDescent="0.2">
      <c r="B20" s="226" t="s">
        <v>115</v>
      </c>
      <c r="C20" s="58">
        <v>0.33679999999999999</v>
      </c>
      <c r="D20" s="54">
        <v>0</v>
      </c>
      <c r="E20" s="40">
        <f>E9*(C20*D20)</f>
        <v>0</v>
      </c>
      <c r="F20" s="59">
        <v>0.3982</v>
      </c>
      <c r="G20" s="54">
        <v>0</v>
      </c>
      <c r="H20" s="40">
        <f>H9*(F20*G20)</f>
        <v>0</v>
      </c>
      <c r="I20" s="60">
        <v>0.79379999999999995</v>
      </c>
      <c r="J20" s="54">
        <v>0</v>
      </c>
      <c r="K20" s="40">
        <f>K9*(I20*J20)</f>
        <v>0</v>
      </c>
      <c r="L20" s="53">
        <f t="shared" si="0"/>
        <v>0</v>
      </c>
      <c r="M20" s="227">
        <f t="shared" si="1"/>
        <v>0</v>
      </c>
      <c r="N20" s="36"/>
      <c r="O20" s="97"/>
      <c r="P20" s="97"/>
      <c r="Q20" s="97"/>
    </row>
    <row r="21" spans="2:17" s="343" customFormat="1" ht="15" customHeight="1" x14ac:dyDescent="0.2">
      <c r="B21" s="334" t="s">
        <v>116</v>
      </c>
      <c r="C21" s="335">
        <v>0.3448</v>
      </c>
      <c r="D21" s="336">
        <f>'FROTA E CUSTOS'!N8</f>
        <v>4.3201000000000001</v>
      </c>
      <c r="E21" s="337">
        <f>E10*(C21*D21)</f>
        <v>1.48957048</v>
      </c>
      <c r="F21" s="338">
        <v>0.39679999999999999</v>
      </c>
      <c r="G21" s="336">
        <f>'FROTA E CUSTOS'!N8</f>
        <v>4.3201000000000001</v>
      </c>
      <c r="H21" s="337">
        <f>H10*(F21*G21)</f>
        <v>1.7142156799999999</v>
      </c>
      <c r="I21" s="339">
        <v>0.74629999999999996</v>
      </c>
      <c r="J21" s="336">
        <f>'FROTA E CUSTOS'!N8</f>
        <v>4.3201000000000001</v>
      </c>
      <c r="K21" s="337">
        <f>K10*(I21*J21)</f>
        <v>3.2240906300000001</v>
      </c>
      <c r="L21" s="340">
        <f t="shared" si="0"/>
        <v>1.7971828687244871</v>
      </c>
      <c r="M21" s="341">
        <f t="shared" si="1"/>
        <v>0.19987418374457017</v>
      </c>
      <c r="N21" s="342" t="s">
        <v>105</v>
      </c>
      <c r="P21" s="344"/>
    </row>
    <row r="22" spans="2:17" s="343" customFormat="1" ht="15" customHeight="1" x14ac:dyDescent="0.2">
      <c r="B22" s="334" t="s">
        <v>117</v>
      </c>
      <c r="C22" s="335">
        <v>1.9E-3</v>
      </c>
      <c r="D22" s="336">
        <f>'FROTA E CUSTOS'!N12</f>
        <v>2.2000000000000002</v>
      </c>
      <c r="E22" s="337">
        <f>E10*(C22*D22)</f>
        <v>4.1800000000000006E-3</v>
      </c>
      <c r="F22" s="338">
        <v>6.7999999999999996E-3</v>
      </c>
      <c r="G22" s="336">
        <f>'FROTA E CUSTOS'!N12</f>
        <v>2.2000000000000002</v>
      </c>
      <c r="H22" s="337">
        <f>H10*(F22*G22)</f>
        <v>1.4960000000000001E-2</v>
      </c>
      <c r="I22" s="339">
        <v>2.76E-2</v>
      </c>
      <c r="J22" s="336">
        <f>'FROTA E CUSTOS'!N12</f>
        <v>2.2000000000000002</v>
      </c>
      <c r="K22" s="337">
        <f>K10*(I22*J22)</f>
        <v>6.0720000000000003E-2</v>
      </c>
      <c r="L22" s="340">
        <f t="shared" si="0"/>
        <v>1.6827663075952983E-2</v>
      </c>
      <c r="M22" s="341">
        <f t="shared" si="1"/>
        <v>1.871493146394089E-3</v>
      </c>
      <c r="N22" s="345"/>
      <c r="P22" s="344"/>
    </row>
    <row r="23" spans="2:17" ht="15" customHeight="1" x14ac:dyDescent="0.2">
      <c r="B23" s="228" t="s">
        <v>0</v>
      </c>
      <c r="C23" s="63">
        <v>0.05</v>
      </c>
      <c r="D23" s="127">
        <f>E20+E21+E22</f>
        <v>1.4937504800000001</v>
      </c>
      <c r="E23" s="41">
        <f>C23*D23</f>
        <v>7.4687524000000005E-2</v>
      </c>
      <c r="F23" s="63">
        <v>0.05</v>
      </c>
      <c r="G23" s="127">
        <f>H20+H21+H22</f>
        <v>1.72917568</v>
      </c>
      <c r="H23" s="42">
        <f>0.05*G23</f>
        <v>8.6458784000000011E-2</v>
      </c>
      <c r="I23" s="63">
        <v>0.05</v>
      </c>
      <c r="J23" s="127">
        <f>K20+K21+K22</f>
        <v>3.28481063</v>
      </c>
      <c r="K23" s="41">
        <f>0.05*J23</f>
        <v>0.16424053150000001</v>
      </c>
      <c r="L23" s="39">
        <f t="shared" si="0"/>
        <v>9.0700526590022021E-2</v>
      </c>
      <c r="M23" s="229">
        <f t="shared" si="1"/>
        <v>1.0087283844548215E-2</v>
      </c>
      <c r="N23" s="36"/>
    </row>
    <row r="24" spans="2:17" ht="15" customHeight="1" x14ac:dyDescent="0.2">
      <c r="B24" s="230" t="s">
        <v>55</v>
      </c>
      <c r="C24" s="64">
        <f>6*1/105000</f>
        <v>5.7142857142857142E-5</v>
      </c>
      <c r="D24" s="69">
        <f>'FROTA E CUSTOS'!K17</f>
        <v>1924.97</v>
      </c>
      <c r="E24" s="41">
        <f>C24*D24</f>
        <v>0.10999828571428572</v>
      </c>
      <c r="F24" s="64">
        <f>6*1/105000</f>
        <v>5.7142857142857142E-5</v>
      </c>
      <c r="G24" s="69">
        <f>'FROTA E CUSTOS'!K17</f>
        <v>1924.97</v>
      </c>
      <c r="H24" s="42">
        <f>F24*G24</f>
        <v>0.10999828571428572</v>
      </c>
      <c r="I24" s="63"/>
      <c r="J24" s="56"/>
      <c r="K24" s="41"/>
      <c r="L24" s="39">
        <f>($E24*$E$8)+($H24*$H$8)+($K24*$K$8)</f>
        <v>0.10128849260274925</v>
      </c>
      <c r="M24" s="229">
        <f t="shared" si="1"/>
        <v>1.1264827377339109E-2</v>
      </c>
      <c r="N24" s="36"/>
    </row>
    <row r="25" spans="2:17" ht="15" customHeight="1" x14ac:dyDescent="0.2">
      <c r="B25" s="230" t="s">
        <v>56</v>
      </c>
      <c r="C25" s="63"/>
      <c r="D25" s="81"/>
      <c r="E25" s="41"/>
      <c r="F25" s="66"/>
      <c r="G25" s="13"/>
      <c r="H25" s="42"/>
      <c r="I25" s="64">
        <f>10*1/105000</f>
        <v>9.5238095238095241E-5</v>
      </c>
      <c r="J25" s="56">
        <f>'FROTA E CUSTOS'!K18</f>
        <v>2122.41</v>
      </c>
      <c r="K25" s="41">
        <f>I25*J25</f>
        <v>0.20213428571428571</v>
      </c>
      <c r="L25" s="39">
        <f>($E25*$E$8)+($H25*$H$8)+($K25*$K$8)</f>
        <v>1.6005229516872242E-2</v>
      </c>
      <c r="M25" s="229">
        <f t="shared" si="1"/>
        <v>1.78002597342795E-3</v>
      </c>
      <c r="N25" s="36"/>
    </row>
    <row r="26" spans="2:17" ht="15" customHeight="1" x14ac:dyDescent="0.2">
      <c r="B26" s="230" t="s">
        <v>57</v>
      </c>
      <c r="C26" s="64">
        <f>2.5*6/105000</f>
        <v>1.4285714285714287E-4</v>
      </c>
      <c r="D26" s="69">
        <f>'FROTA E CUSTOS'!K19</f>
        <v>545</v>
      </c>
      <c r="E26" s="41">
        <f>C26*D26</f>
        <v>7.7857142857142861E-2</v>
      </c>
      <c r="F26" s="64">
        <f>2.5*6/105000</f>
        <v>1.4285714285714287E-4</v>
      </c>
      <c r="G26" s="69">
        <f>'FROTA E CUSTOS'!K19</f>
        <v>545</v>
      </c>
      <c r="H26" s="42">
        <f>F26*G26</f>
        <v>7.7857142857142861E-2</v>
      </c>
      <c r="I26" s="63"/>
      <c r="J26" s="56"/>
      <c r="K26" s="41"/>
      <c r="L26" s="39">
        <f t="shared" si="0"/>
        <v>7.1692323086201784E-2</v>
      </c>
      <c r="M26" s="229">
        <f t="shared" si="1"/>
        <v>7.9732812987342843E-3</v>
      </c>
      <c r="N26" s="36"/>
    </row>
    <row r="27" spans="2:17" ht="15" customHeight="1" x14ac:dyDescent="0.2">
      <c r="B27" s="231" t="s">
        <v>58</v>
      </c>
      <c r="C27" s="65"/>
      <c r="D27" s="55"/>
      <c r="E27" s="47"/>
      <c r="F27" s="67"/>
      <c r="G27" s="57"/>
      <c r="H27" s="48"/>
      <c r="I27" s="68">
        <f>2.5*10/105000</f>
        <v>2.380952380952381E-4</v>
      </c>
      <c r="J27" s="57">
        <f>'FROTA E CUSTOS'!K20</f>
        <v>585</v>
      </c>
      <c r="K27" s="49">
        <f>I27*J27</f>
        <v>0.13928571428571429</v>
      </c>
      <c r="L27" s="95">
        <f t="shared" si="0"/>
        <v>1.1028806012234044E-2</v>
      </c>
      <c r="M27" s="232">
        <f t="shared" si="1"/>
        <v>1.2265716737757441E-3</v>
      </c>
      <c r="N27" s="36"/>
    </row>
    <row r="28" spans="2:17" ht="9.9499999999999993" customHeight="1" x14ac:dyDescent="0.2">
      <c r="B28" s="217"/>
      <c r="C28" s="219"/>
      <c r="D28" s="219"/>
      <c r="E28" s="219"/>
      <c r="F28" s="219"/>
      <c r="G28" s="219"/>
      <c r="H28" s="219"/>
      <c r="I28" s="219"/>
      <c r="J28" s="219"/>
      <c r="K28" s="219"/>
      <c r="L28" s="218"/>
      <c r="M28" s="233"/>
      <c r="N28" s="36"/>
    </row>
    <row r="29" spans="2:17" s="97" customFormat="1" ht="15" customHeight="1" x14ac:dyDescent="0.2">
      <c r="B29" s="234" t="s">
        <v>74</v>
      </c>
      <c r="C29" s="98"/>
      <c r="D29" s="99"/>
      <c r="E29" s="100">
        <f>SUM(E30:E41)</f>
        <v>4.4470637475980324</v>
      </c>
      <c r="F29" s="102"/>
      <c r="G29" s="103"/>
      <c r="H29" s="101">
        <f>SUM(H30:H41)</f>
        <v>5.8624227343358024</v>
      </c>
      <c r="I29" s="104"/>
      <c r="J29" s="103"/>
      <c r="K29" s="100">
        <f>SUM(K30:K41)</f>
        <v>7.7630421496067719</v>
      </c>
      <c r="L29" s="105">
        <f t="shared" ref="L29:L41" si="2">($E29*$E$8)+($H29*$H$8)+($K29*$K$8)</f>
        <v>5.7824058457165934</v>
      </c>
      <c r="M29" s="235">
        <f t="shared" ref="M29:M41" si="3">L29/$L$52</f>
        <v>0.64309184591365876</v>
      </c>
      <c r="O29" s="5"/>
      <c r="P29" s="120"/>
      <c r="Q29" s="5"/>
    </row>
    <row r="30" spans="2:17" ht="15" customHeight="1" x14ac:dyDescent="0.2">
      <c r="B30" s="226" t="s">
        <v>3</v>
      </c>
      <c r="C30" s="126">
        <v>6.4000000000000003E-3</v>
      </c>
      <c r="D30" s="73">
        <f>'FROTA E CUSTOS'!H4</f>
        <v>622450.18000000005</v>
      </c>
      <c r="E30" s="75">
        <f>(C30*D30)/C11</f>
        <v>0.52385521137199453</v>
      </c>
      <c r="F30" s="126">
        <v>6.4000000000000003E-3</v>
      </c>
      <c r="G30" s="71">
        <f>'FROTA E CUSTOS'!H5</f>
        <v>695450.18</v>
      </c>
      <c r="H30" s="75">
        <f>(F30*G30)/F11</f>
        <v>0.69469021473139037</v>
      </c>
      <c r="I30" s="126">
        <v>6.4000000000000003E-3</v>
      </c>
      <c r="J30" s="71">
        <f>'FROTA E CUSTOS'!H6</f>
        <v>1538775.9</v>
      </c>
      <c r="K30" s="75">
        <f>(I30*J30)/I11</f>
        <v>1.7757929695588111</v>
      </c>
      <c r="L30" s="53">
        <f>($E30*$E$8)+($H30*$H$8)+($K30*$K$8)</f>
        <v>0.75247042974154787</v>
      </c>
      <c r="M30" s="227">
        <f t="shared" si="3"/>
        <v>8.3686204422402849E-2</v>
      </c>
      <c r="N30" s="36"/>
    </row>
    <row r="31" spans="2:17" ht="15" customHeight="1" x14ac:dyDescent="0.2">
      <c r="B31" s="230" t="s">
        <v>4</v>
      </c>
      <c r="C31" s="70">
        <f>'KM, PASSAGEIROS E PESSOAL'!M20</f>
        <v>3.0686884874949061</v>
      </c>
      <c r="D31" s="13">
        <f>'FROTA E CUSTOS'!K5</f>
        <v>2685.08</v>
      </c>
      <c r="E31" s="76">
        <f>(C31*D31*1.423893)/C$11</f>
        <v>1.5428158310336142</v>
      </c>
      <c r="F31" s="70">
        <f>C31</f>
        <v>3.0686884874949061</v>
      </c>
      <c r="G31" s="56">
        <f>'FROTA E CUSTOS'!K4</f>
        <v>2685.08</v>
      </c>
      <c r="H31" s="76">
        <f>(F31*G31*1.423893)/F$11</f>
        <v>1.8311864767115278</v>
      </c>
      <c r="I31" s="70">
        <f>F31</f>
        <v>3.0686884874949061</v>
      </c>
      <c r="J31" s="56">
        <f>'FROTA E CUSTOS'!K4</f>
        <v>2685.08</v>
      </c>
      <c r="K31" s="76">
        <f>(I31*J31*1.423893)/I$11</f>
        <v>2.1155552465007585</v>
      </c>
      <c r="L31" s="39">
        <f>($E31*$E$8)+($H31*$H$8)+($K31*$K$8)</f>
        <v>1.8067381085615111</v>
      </c>
      <c r="M31" s="229">
        <f t="shared" si="3"/>
        <v>0.20093687235358426</v>
      </c>
      <c r="N31" s="36"/>
    </row>
    <row r="32" spans="2:17" ht="15" customHeight="1" x14ac:dyDescent="0.2">
      <c r="B32" s="230" t="s">
        <v>5</v>
      </c>
      <c r="C32" s="70">
        <v>0</v>
      </c>
      <c r="D32" s="13">
        <v>0</v>
      </c>
      <c r="E32" s="76">
        <f>(C32*D32*1.423893)/C$11</f>
        <v>0</v>
      </c>
      <c r="F32" s="66">
        <f>'KM, PASSAGEIROS E PESSOAL'!P20</f>
        <v>2.5206506503742605</v>
      </c>
      <c r="G32" s="56">
        <f>'FROTA E CUSTOS'!K6</f>
        <v>1608.46</v>
      </c>
      <c r="H32" s="76">
        <f>(F32*G32*1.423893)/F$11</f>
        <v>0.90104288693718138</v>
      </c>
      <c r="I32" s="66">
        <f>F32</f>
        <v>2.5206506503742605</v>
      </c>
      <c r="J32" s="56">
        <f>'FROTA E CUSTOS'!K6</f>
        <v>1608.46</v>
      </c>
      <c r="K32" s="143">
        <f>(I32*J32*1.423893)/I$11</f>
        <v>1.0409677173923526</v>
      </c>
      <c r="L32" s="39">
        <f>($E32*$E$8)+($H32*$H$8)+($K32*$K$8)</f>
        <v>0.76537540134122184</v>
      </c>
      <c r="M32" s="229">
        <f t="shared" si="3"/>
        <v>8.5121434364563583E-2</v>
      </c>
      <c r="N32" s="36"/>
    </row>
    <row r="33" spans="2:17" ht="15" customHeight="1" x14ac:dyDescent="0.2">
      <c r="B33" s="230" t="s">
        <v>59</v>
      </c>
      <c r="C33" s="70">
        <f>1/5</f>
        <v>0.2</v>
      </c>
      <c r="D33" s="56">
        <f>G33</f>
        <v>2685.08</v>
      </c>
      <c r="E33" s="76">
        <f>(C33*D33*1.423893)/C$11</f>
        <v>0.10055213080902045</v>
      </c>
      <c r="F33" s="70">
        <f>1/5</f>
        <v>0.2</v>
      </c>
      <c r="G33" s="56">
        <f>'FROTA E CUSTOS'!K4</f>
        <v>2685.08</v>
      </c>
      <c r="H33" s="76">
        <f>(F33*G33*1.423893)/F$11</f>
        <v>0.1193465211065721</v>
      </c>
      <c r="I33" s="70">
        <f>1/5</f>
        <v>0.2</v>
      </c>
      <c r="J33" s="56">
        <f>'FROTA E CUSTOS'!K4</f>
        <v>2685.08</v>
      </c>
      <c r="K33" s="76">
        <f>(I33*J33*1.423893)/I$11</f>
        <v>0.13788009145416852</v>
      </c>
      <c r="L33" s="39">
        <f>($E33*$E$8)+($H33*$H$8)+($K33*$K$8)</f>
        <v>0.11775311283136623</v>
      </c>
      <c r="M33" s="229">
        <f t="shared" si="3"/>
        <v>1.3095944614281598E-2</v>
      </c>
      <c r="N33" s="36"/>
      <c r="P33" s="5"/>
    </row>
    <row r="34" spans="2:17" ht="15" customHeight="1" x14ac:dyDescent="0.2">
      <c r="B34" s="228" t="s">
        <v>6</v>
      </c>
      <c r="C34" s="70">
        <v>0.13500000000000001</v>
      </c>
      <c r="D34" s="74">
        <f>SUM(E31:E33)</f>
        <v>1.6433679618426347</v>
      </c>
      <c r="E34" s="76">
        <f>C34*D34</f>
        <v>0.22185467484875571</v>
      </c>
      <c r="F34" s="70">
        <v>0.13500000000000001</v>
      </c>
      <c r="G34" s="74">
        <f>SUM(H31:H33)</f>
        <v>2.8515758847552815</v>
      </c>
      <c r="H34" s="79">
        <f>F34*G34</f>
        <v>0.38496274444196305</v>
      </c>
      <c r="I34" s="70">
        <v>0.13500000000000001</v>
      </c>
      <c r="J34" s="74">
        <f>SUM(K31:K33)</f>
        <v>3.2944030553472796</v>
      </c>
      <c r="K34" s="76">
        <f>I34*J34</f>
        <v>0.44474441247188279</v>
      </c>
      <c r="L34" s="39">
        <f t="shared" si="2"/>
        <v>0.36313199406910346</v>
      </c>
      <c r="M34" s="229">
        <f t="shared" si="3"/>
        <v>4.0385823929877981E-2</v>
      </c>
      <c r="N34" s="36"/>
      <c r="O34" s="97"/>
      <c r="P34" s="97"/>
      <c r="Q34" s="97"/>
    </row>
    <row r="35" spans="2:17" ht="15" customHeight="1" x14ac:dyDescent="0.2">
      <c r="B35" s="228" t="s">
        <v>44</v>
      </c>
      <c r="C35" s="70">
        <f>C8/$L$8/C7</f>
        <v>7.7553994431176576E-3</v>
      </c>
      <c r="D35" s="13">
        <f>'FROTA E CUSTOS'!K10*'KM, PASSAGEIROS E PESSOAL'!E14</f>
        <v>953449.75</v>
      </c>
      <c r="E35" s="77">
        <f>(C35*D35)/C11</f>
        <v>0.97236356713189209</v>
      </c>
      <c r="F35" s="70">
        <f>F8/$L$8/F7</f>
        <v>6.5340986234883082E-3</v>
      </c>
      <c r="G35" s="13">
        <f>D35</f>
        <v>953449.75</v>
      </c>
      <c r="H35" s="80">
        <f>(F35*G35)/F11</f>
        <v>0.9723635671318922</v>
      </c>
      <c r="I35" s="70">
        <f>I8/$L$8/I7</f>
        <v>5.6557979549918171E-3</v>
      </c>
      <c r="J35" s="13">
        <f>G35</f>
        <v>953449.75</v>
      </c>
      <c r="K35" s="77">
        <f>(I35*J35)/I11</f>
        <v>0.9723635671318922</v>
      </c>
      <c r="L35" s="39">
        <f>($E35*$E$8)+($H35*$H$8)+($K35*$K$8)</f>
        <v>0.97236356713189231</v>
      </c>
      <c r="M35" s="229">
        <f t="shared" si="3"/>
        <v>0.10814167977317837</v>
      </c>
      <c r="N35" s="46"/>
      <c r="P35" s="5"/>
    </row>
    <row r="36" spans="2:17" ht="15" customHeight="1" x14ac:dyDescent="0.2">
      <c r="B36" s="228" t="s">
        <v>7</v>
      </c>
      <c r="C36" s="70">
        <f>C32+C33+C34+((C32+C33+C34)*C35)</f>
        <v>0.33759805881344446</v>
      </c>
      <c r="D36" s="74"/>
      <c r="E36" s="78">
        <f>(((D31)*0.1/12)*(C31+C32+C33)*C7)/C8</f>
        <v>9.6178104782840366E-3</v>
      </c>
      <c r="F36" s="66"/>
      <c r="G36" s="72"/>
      <c r="H36" s="78">
        <f>(((G31)*0.1/12)*(F31+F32+F33)*F7)/F8</f>
        <v>2.0218557082905993E-2</v>
      </c>
      <c r="I36" s="63"/>
      <c r="J36" s="72"/>
      <c r="K36" s="78">
        <f>(((J31)*0.1/12)*(I31+I32+I33)*I7)/I8</f>
        <v>2.3358339009924369E-2</v>
      </c>
      <c r="L36" s="39">
        <f t="shared" si="2"/>
        <v>1.8740695183136858E-2</v>
      </c>
      <c r="M36" s="229">
        <f t="shared" si="3"/>
        <v>2.0842515348445134E-3</v>
      </c>
      <c r="N36" s="36"/>
      <c r="O36" s="97"/>
      <c r="P36" s="97"/>
      <c r="Q36" s="97"/>
    </row>
    <row r="37" spans="2:17" ht="15" customHeight="1" x14ac:dyDescent="0.2">
      <c r="B37" s="228" t="s">
        <v>8</v>
      </c>
      <c r="C37" s="70">
        <f>C8/$L$8/C7</f>
        <v>7.7553994431176576E-3</v>
      </c>
      <c r="D37" s="13">
        <f>'FROTA E CUSTOS'!K35</f>
        <v>0</v>
      </c>
      <c r="E37" s="76">
        <f>D37*C37/C11</f>
        <v>0</v>
      </c>
      <c r="F37" s="70">
        <f>F8/$L$8/F7</f>
        <v>6.5340986234883082E-3</v>
      </c>
      <c r="G37" s="13">
        <f>D37</f>
        <v>0</v>
      </c>
      <c r="H37" s="79">
        <f>G37*F37/F11</f>
        <v>0</v>
      </c>
      <c r="I37" s="70">
        <f>I8/$L$8/I7</f>
        <v>5.6557979549918171E-3</v>
      </c>
      <c r="J37" s="13">
        <f>G37</f>
        <v>0</v>
      </c>
      <c r="K37" s="76">
        <f>J37*I37/I11</f>
        <v>0</v>
      </c>
      <c r="L37" s="39">
        <f t="shared" si="2"/>
        <v>0</v>
      </c>
      <c r="M37" s="229">
        <f t="shared" si="3"/>
        <v>0</v>
      </c>
      <c r="N37" s="36"/>
    </row>
    <row r="38" spans="2:17" ht="15" customHeight="1" x14ac:dyDescent="0.2">
      <c r="B38" s="228" t="s">
        <v>72</v>
      </c>
      <c r="C38" s="63"/>
      <c r="D38" s="13">
        <f>'FROTA E CUSTOS'!K27</f>
        <v>2057.14</v>
      </c>
      <c r="E38" s="76">
        <f>D38/12/C12</f>
        <v>4.4012279538465718E-2</v>
      </c>
      <c r="F38" s="66"/>
      <c r="G38" s="13">
        <f>D38</f>
        <v>2057.14</v>
      </c>
      <c r="H38" s="79">
        <f>G38/12/F12</f>
        <v>3.1138921438365375E-2</v>
      </c>
      <c r="I38" s="63"/>
      <c r="J38" s="13">
        <f>G38</f>
        <v>2057.14</v>
      </c>
      <c r="K38" s="76">
        <f>J38/12/I12</f>
        <v>4.4159235411412673E-2</v>
      </c>
      <c r="L38" s="39">
        <f t="shared" si="2"/>
        <v>3.426648386940697E-2</v>
      </c>
      <c r="M38" s="229">
        <f t="shared" si="3"/>
        <v>3.8109563653114069E-3</v>
      </c>
      <c r="N38" s="36"/>
    </row>
    <row r="39" spans="2:17" ht="15" customHeight="1" x14ac:dyDescent="0.2">
      <c r="B39" s="228" t="s">
        <v>12</v>
      </c>
      <c r="C39" s="70">
        <v>0.105</v>
      </c>
      <c r="D39" s="74">
        <f>SUM(E31:E33)</f>
        <v>1.6433679618426347</v>
      </c>
      <c r="E39" s="76">
        <f>C39*D39</f>
        <v>0.17255363599347665</v>
      </c>
      <c r="F39" s="70">
        <v>0.105</v>
      </c>
      <c r="G39" s="74">
        <f>SUM(H31:H33)</f>
        <v>2.8515758847552815</v>
      </c>
      <c r="H39" s="79">
        <f>F39*G39</f>
        <v>0.29941546789930457</v>
      </c>
      <c r="I39" s="70">
        <v>0.105</v>
      </c>
      <c r="J39" s="74">
        <f>SUM(K31:K33)</f>
        <v>3.2944030553472796</v>
      </c>
      <c r="K39" s="76">
        <f>I39*J39</f>
        <v>0.34591232081146434</v>
      </c>
      <c r="L39" s="39">
        <f>($E39*$E$8)+($H39*$H$8)+($K39*$K$8)</f>
        <v>0.28243599538708042</v>
      </c>
      <c r="M39" s="229">
        <f t="shared" si="3"/>
        <v>3.141119638990509E-2</v>
      </c>
      <c r="N39" s="36"/>
    </row>
    <row r="40" spans="2:17" ht="15" customHeight="1" x14ac:dyDescent="0.2">
      <c r="B40" s="228" t="s">
        <v>10</v>
      </c>
      <c r="C40" s="70">
        <v>3.3E-3</v>
      </c>
      <c r="D40" s="13">
        <f>'FROTA E CUSTOS'!F5</f>
        <v>707000</v>
      </c>
      <c r="E40" s="76">
        <f>C40*D40/$C$12</f>
        <v>0.59899695338884684</v>
      </c>
      <c r="F40" s="70">
        <f>C40</f>
        <v>3.3E-3</v>
      </c>
      <c r="G40" s="13">
        <f>D40</f>
        <v>707000</v>
      </c>
      <c r="H40" s="76">
        <f>F40*G40/$F$12</f>
        <v>0.42379352464791076</v>
      </c>
      <c r="I40" s="70">
        <f>F40</f>
        <v>3.3E-3</v>
      </c>
      <c r="J40" s="13">
        <f>G40</f>
        <v>707000</v>
      </c>
      <c r="K40" s="76">
        <f>I40*J40/$I$12</f>
        <v>0.60099698885851371</v>
      </c>
      <c r="L40" s="39">
        <f t="shared" si="2"/>
        <v>0.46635892656239286</v>
      </c>
      <c r="M40" s="229">
        <f t="shared" si="3"/>
        <v>5.1866235429235019E-2</v>
      </c>
      <c r="N40" s="36"/>
    </row>
    <row r="41" spans="2:17" ht="15" customHeight="1" x14ac:dyDescent="0.2">
      <c r="B41" s="228" t="s">
        <v>11</v>
      </c>
      <c r="C41" s="70">
        <v>0.37780000000000002</v>
      </c>
      <c r="D41" s="13">
        <f>G41</f>
        <v>2685.08</v>
      </c>
      <c r="E41" s="76">
        <f>C41*D41/$C$12</f>
        <v>0.26044165300368255</v>
      </c>
      <c r="F41" s="70">
        <f>C41</f>
        <v>0.37780000000000002</v>
      </c>
      <c r="G41" s="56">
        <f>G31</f>
        <v>2685.08</v>
      </c>
      <c r="H41" s="76">
        <f>F41*G41/$F$12</f>
        <v>0.18426385220678801</v>
      </c>
      <c r="I41" s="70">
        <f>F41</f>
        <v>0.37780000000000002</v>
      </c>
      <c r="J41" s="56">
        <f>J31</f>
        <v>2685.08</v>
      </c>
      <c r="K41" s="76">
        <f>I41*J41/$I$12</f>
        <v>0.26131126100559154</v>
      </c>
      <c r="L41" s="39">
        <f t="shared" si="2"/>
        <v>0.20277113103793312</v>
      </c>
      <c r="M41" s="229">
        <f t="shared" si="3"/>
        <v>2.2551246736474049E-2</v>
      </c>
      <c r="P41" s="5"/>
    </row>
    <row r="42" spans="2:17" ht="9.9499999999999993" customHeight="1" x14ac:dyDescent="0.2">
      <c r="B42" s="217"/>
      <c r="C42" s="219"/>
      <c r="D42" s="219"/>
      <c r="E42" s="219"/>
      <c r="F42" s="219"/>
      <c r="G42" s="219"/>
      <c r="H42" s="219"/>
      <c r="I42" s="219"/>
      <c r="J42" s="219"/>
      <c r="K42" s="219"/>
      <c r="L42" s="218"/>
      <c r="M42" s="233"/>
      <c r="P42" s="5"/>
    </row>
    <row r="43" spans="2:17" s="97" customFormat="1" ht="15" customHeight="1" x14ac:dyDescent="0.2">
      <c r="B43" s="236" t="s">
        <v>81</v>
      </c>
      <c r="C43" s="106"/>
      <c r="D43" s="107"/>
      <c r="E43" s="108">
        <f>E19+E29</f>
        <v>6.2033571801694611</v>
      </c>
      <c r="F43" s="109"/>
      <c r="G43" s="110"/>
      <c r="H43" s="108">
        <f>H19+H29</f>
        <v>7.8659126269072308</v>
      </c>
      <c r="I43" s="109"/>
      <c r="J43" s="110"/>
      <c r="K43" s="108">
        <f>K19+K29</f>
        <v>11.553513311106771</v>
      </c>
      <c r="L43" s="111">
        <f>(E43*$E$8)+(H43*$H$8)+(K43*$K$8)</f>
        <v>7.8871317553251128</v>
      </c>
      <c r="M43" s="237">
        <f>L43/$L$52</f>
        <v>0.87716951297244838</v>
      </c>
      <c r="N43" s="5"/>
    </row>
    <row r="44" spans="2:17" ht="9.9499999999999993" customHeight="1" x14ac:dyDescent="0.2">
      <c r="B44" s="217"/>
      <c r="C44" s="219"/>
      <c r="D44" s="219"/>
      <c r="E44" s="219"/>
      <c r="F44" s="219"/>
      <c r="G44" s="219"/>
      <c r="H44" s="219"/>
      <c r="I44" s="219"/>
      <c r="J44" s="219"/>
      <c r="K44" s="219"/>
      <c r="L44" s="218"/>
      <c r="M44" s="233"/>
      <c r="N44" s="97"/>
      <c r="P44" s="5"/>
    </row>
    <row r="45" spans="2:17" s="97" customFormat="1" ht="15" customHeight="1" x14ac:dyDescent="0.2">
      <c r="B45" s="234" t="s">
        <v>82</v>
      </c>
      <c r="C45" s="98"/>
      <c r="D45" s="99"/>
      <c r="E45" s="100">
        <f>E46+E47+E48+E49+E50</f>
        <v>1.1896477103126346</v>
      </c>
      <c r="F45" s="102"/>
      <c r="G45" s="103"/>
      <c r="H45" s="101">
        <f>H46+H47+H48+H49+H50</f>
        <v>1.151089362511478</v>
      </c>
      <c r="I45" s="104"/>
      <c r="J45" s="103"/>
      <c r="K45" s="100">
        <f>K46+K47+K48+K49+K50</f>
        <v>0.48262124510831833</v>
      </c>
      <c r="L45" s="105">
        <f>L46+L47+L48+L49+L50</f>
        <v>1.104439017122431</v>
      </c>
      <c r="M45" s="235">
        <f t="shared" ref="M45:M50" si="4">L45/$L$52</f>
        <v>0.1228304870275517</v>
      </c>
      <c r="N45" s="5"/>
    </row>
    <row r="46" spans="2:17" ht="15" customHeight="1" x14ac:dyDescent="0.2">
      <c r="B46" s="226" t="s">
        <v>76</v>
      </c>
      <c r="C46" s="45">
        <f>1/120</f>
        <v>8.3333333333333332E-3</v>
      </c>
      <c r="D46" s="73">
        <f>'FROTA E CUSTOS'!H4</f>
        <v>622450.18000000005</v>
      </c>
      <c r="E46" s="96">
        <f>C46*D46*0.9/C13</f>
        <v>0.64312581753258258</v>
      </c>
      <c r="F46" s="45">
        <f>1/120</f>
        <v>8.3333333333333332E-3</v>
      </c>
      <c r="G46" s="71">
        <f>'FROTA E CUSTOS'!H5</f>
        <v>695450.18</v>
      </c>
      <c r="H46" s="96">
        <f>F46*G46*0.9/F13</f>
        <v>0.68074775217818762</v>
      </c>
      <c r="I46" s="45">
        <f>1/120</f>
        <v>8.3333333333333332E-3</v>
      </c>
      <c r="J46" s="71">
        <f>'FROTA E CUSTOS'!H6</f>
        <v>1538775.9</v>
      </c>
      <c r="K46" s="96">
        <f>I46*J46*0.9/I13</f>
        <v>0.29728676945739024</v>
      </c>
      <c r="L46" s="53">
        <f>(E46*$E$8)+(H46*$H$8)+(K46*$K$8)</f>
        <v>0.64425762664071728</v>
      </c>
      <c r="M46" s="227">
        <f t="shared" si="4"/>
        <v>7.1651287961263257E-2</v>
      </c>
      <c r="P46" s="5"/>
    </row>
    <row r="47" spans="2:17" ht="15" customHeight="1" x14ac:dyDescent="0.2">
      <c r="B47" s="228" t="s">
        <v>75</v>
      </c>
      <c r="C47" s="44">
        <v>1E-4</v>
      </c>
      <c r="D47" s="13">
        <f>'FROTA E CUSTOS'!F5</f>
        <v>707000</v>
      </c>
      <c r="E47" s="125">
        <f>C47*D47/$C$12</f>
        <v>1.8151422829965059E-2</v>
      </c>
      <c r="F47" s="44">
        <v>1E-4</v>
      </c>
      <c r="G47" s="13">
        <f>D47</f>
        <v>707000</v>
      </c>
      <c r="H47" s="125">
        <f>F47*G47/$F$12</f>
        <v>1.2842228019633662E-2</v>
      </c>
      <c r="I47" s="44">
        <v>1E-4</v>
      </c>
      <c r="J47" s="13">
        <f>G47</f>
        <v>707000</v>
      </c>
      <c r="K47" s="125">
        <f>I47*J47/$I$12</f>
        <v>1.821202996540951E-2</v>
      </c>
      <c r="L47" s="95">
        <f>(E47*$E$8)+(H47*$H$8)+(K47*$K$8)</f>
        <v>1.4132088683708877E-2</v>
      </c>
      <c r="M47" s="229">
        <f t="shared" si="4"/>
        <v>1.571704103916213E-3</v>
      </c>
      <c r="P47" s="5"/>
    </row>
    <row r="48" spans="2:17" ht="15" customHeight="1" x14ac:dyDescent="0.2">
      <c r="B48" s="228" t="s">
        <v>77</v>
      </c>
      <c r="C48" s="44">
        <f>((10-'FROTA E CUSTOS'!E29)/10)*0.01</f>
        <v>4.6800000000000001E-3</v>
      </c>
      <c r="D48" s="73">
        <f>D46</f>
        <v>622450.18000000005</v>
      </c>
      <c r="E48" s="78">
        <f>C48*D48/C13</f>
        <v>0.40131051014033153</v>
      </c>
      <c r="F48" s="43">
        <f>((10-'FROTA E CUSTOS'!D29)/10)*0.01</f>
        <v>4.0499999999999998E-3</v>
      </c>
      <c r="G48" s="71">
        <f>G46</f>
        <v>695450.18</v>
      </c>
      <c r="H48" s="78">
        <f>F48*G48/F13</f>
        <v>0.3676037861762213</v>
      </c>
      <c r="I48" s="44">
        <f>((10-'FROTA E CUSTOS'!F29)/10)*0.01</f>
        <v>1E-3</v>
      </c>
      <c r="J48" s="71">
        <f>J46</f>
        <v>1538775.9</v>
      </c>
      <c r="K48" s="78">
        <f>I48*J48/I13</f>
        <v>3.9638235927652025E-2</v>
      </c>
      <c r="L48" s="95">
        <f>(E48*$E$8)+(H48*$H$8)+(K48*$K$8)</f>
        <v>0.3471246810120428</v>
      </c>
      <c r="M48" s="229">
        <f t="shared" si="4"/>
        <v>3.8605566234958741E-2</v>
      </c>
      <c r="N48" s="97"/>
      <c r="P48" s="5"/>
    </row>
    <row r="49" spans="2:17" ht="15" customHeight="1" x14ac:dyDescent="0.2">
      <c r="B49" s="228" t="s">
        <v>78</v>
      </c>
      <c r="C49" s="44">
        <v>4.0000000000000002E-4</v>
      </c>
      <c r="D49" s="13">
        <f>'FROTA E CUSTOS'!F5</f>
        <v>707000</v>
      </c>
      <c r="E49" s="78">
        <f>C49*D49/$C$12</f>
        <v>7.2605691319860235E-2</v>
      </c>
      <c r="F49" s="44">
        <v>4.0000000000000002E-4</v>
      </c>
      <c r="G49" s="13">
        <f>D49</f>
        <v>707000</v>
      </c>
      <c r="H49" s="78">
        <f>F49*G49/$F$12</f>
        <v>5.1368912078534647E-2</v>
      </c>
      <c r="I49" s="44">
        <v>4.0000000000000002E-4</v>
      </c>
      <c r="J49" s="13">
        <f>G49</f>
        <v>707000</v>
      </c>
      <c r="K49" s="78">
        <f>I49*J49/$I$12</f>
        <v>7.2848119861638042E-2</v>
      </c>
      <c r="L49" s="95">
        <f>(E49*$E$8)+(H49*$H$8)+(K49*$K$8)</f>
        <v>5.6528354734835508E-2</v>
      </c>
      <c r="M49" s="229">
        <f t="shared" si="4"/>
        <v>6.2868164156648521E-3</v>
      </c>
      <c r="N49" s="36"/>
      <c r="O49" s="97"/>
      <c r="P49" s="97"/>
      <c r="Q49" s="97"/>
    </row>
    <row r="50" spans="2:17" ht="15" customHeight="1" x14ac:dyDescent="0.2">
      <c r="B50" s="228" t="s">
        <v>79</v>
      </c>
      <c r="C50" s="44">
        <v>2.9999999999999997E-4</v>
      </c>
      <c r="D50" s="13">
        <f>'FROTA E CUSTOS'!F5</f>
        <v>707000</v>
      </c>
      <c r="E50" s="78">
        <f>C50*D50/$C$12</f>
        <v>5.4454268489895166E-2</v>
      </c>
      <c r="F50" s="44">
        <v>2.9999999999999997E-4</v>
      </c>
      <c r="G50" s="13">
        <f>D50</f>
        <v>707000</v>
      </c>
      <c r="H50" s="78">
        <f>F50*G50/$F$12</f>
        <v>3.852668405890098E-2</v>
      </c>
      <c r="I50" s="44">
        <v>2.9999999999999997E-4</v>
      </c>
      <c r="J50" s="13">
        <f>G50</f>
        <v>707000</v>
      </c>
      <c r="K50" s="78">
        <f>I50*J50/$I$12</f>
        <v>5.4636089896228521E-2</v>
      </c>
      <c r="L50" s="39">
        <f>(E50*$E$8)+(H50*$H$8)+(K50*$K$8)</f>
        <v>4.2396266051126626E-2</v>
      </c>
      <c r="M50" s="229">
        <f t="shared" si="4"/>
        <v>4.7151123117486378E-3</v>
      </c>
      <c r="N50" s="36"/>
      <c r="P50" s="5"/>
    </row>
    <row r="51" spans="2:17" ht="9.9499999999999993" customHeight="1" x14ac:dyDescent="0.2">
      <c r="B51" s="217"/>
      <c r="C51" s="219"/>
      <c r="D51" s="219"/>
      <c r="E51" s="219"/>
      <c r="F51" s="219"/>
      <c r="G51" s="219"/>
      <c r="H51" s="219"/>
      <c r="I51" s="219"/>
      <c r="J51" s="219"/>
      <c r="K51" s="219"/>
      <c r="L51" s="218"/>
      <c r="M51" s="233"/>
      <c r="N51" s="36"/>
    </row>
    <row r="52" spans="2:17" s="97" customFormat="1" ht="15" customHeight="1" x14ac:dyDescent="0.2">
      <c r="B52" s="236" t="s">
        <v>80</v>
      </c>
      <c r="C52" s="106"/>
      <c r="D52" s="107"/>
      <c r="E52" s="108">
        <f>E43+E45</f>
        <v>7.3930048904820955</v>
      </c>
      <c r="F52" s="109"/>
      <c r="G52" s="110"/>
      <c r="H52" s="108">
        <f>H43+H45</f>
        <v>9.0170019894187092</v>
      </c>
      <c r="I52" s="109"/>
      <c r="J52" s="110"/>
      <c r="K52" s="108">
        <f>K43+K45</f>
        <v>12.036134556215089</v>
      </c>
      <c r="L52" s="111">
        <f>(E52*$E$8)+(H52*$H$8)+(K52*$K$8)</f>
        <v>8.9915707724475435</v>
      </c>
      <c r="M52" s="237">
        <f>L52/L52</f>
        <v>1</v>
      </c>
      <c r="O52" s="5"/>
      <c r="P52" s="120"/>
      <c r="Q52" s="5"/>
    </row>
    <row r="53" spans="2:17" ht="9.9499999999999993" customHeight="1" x14ac:dyDescent="0.2">
      <c r="B53" s="217"/>
      <c r="C53" s="219"/>
      <c r="D53" s="219"/>
      <c r="E53" s="219"/>
      <c r="F53" s="219"/>
      <c r="G53" s="219"/>
      <c r="H53" s="219"/>
      <c r="I53" s="219"/>
      <c r="J53" s="219"/>
      <c r="K53" s="219"/>
      <c r="L53" s="112"/>
      <c r="M53" s="238"/>
      <c r="N53" s="36"/>
    </row>
    <row r="54" spans="2:17" ht="15" customHeight="1" x14ac:dyDescent="0.2">
      <c r="B54" s="239" t="s">
        <v>83</v>
      </c>
      <c r="C54" s="508"/>
      <c r="D54" s="509"/>
      <c r="E54" s="509"/>
      <c r="F54" s="509"/>
      <c r="G54" s="509"/>
      <c r="H54" s="509"/>
      <c r="I54" s="509"/>
      <c r="J54" s="509"/>
      <c r="K54" s="510"/>
      <c r="L54" s="113">
        <f>(L52/0.95)-L52</f>
        <v>0.47324056697092409</v>
      </c>
      <c r="M54" s="240">
        <f>L54/$L$52</f>
        <v>5.2631578947368501E-2</v>
      </c>
      <c r="N54" s="36"/>
    </row>
    <row r="55" spans="2:17" ht="15" customHeight="1" x14ac:dyDescent="0.2">
      <c r="B55" s="241" t="s">
        <v>9</v>
      </c>
      <c r="C55" s="114" t="s">
        <v>96</v>
      </c>
      <c r="D55" s="119">
        <v>0</v>
      </c>
      <c r="E55" s="116"/>
      <c r="F55" s="117" t="s">
        <v>61</v>
      </c>
      <c r="G55" s="115">
        <v>0.02</v>
      </c>
      <c r="H55" s="116"/>
      <c r="I55" s="114" t="s">
        <v>60</v>
      </c>
      <c r="J55" s="119">
        <v>0.02</v>
      </c>
      <c r="K55" s="116"/>
      <c r="L55" s="118">
        <f>L57-L54-L52</f>
        <v>0.39436713914243704</v>
      </c>
      <c r="M55" s="242">
        <f>L55/$L$52</f>
        <v>4.3859649122807119E-2</v>
      </c>
      <c r="N55" s="36"/>
    </row>
    <row r="56" spans="2:17" ht="9.9499999999999993" customHeight="1" x14ac:dyDescent="0.2">
      <c r="B56" s="243"/>
      <c r="C56" s="244"/>
      <c r="D56" s="245"/>
      <c r="E56" s="245"/>
      <c r="F56" s="245"/>
      <c r="G56" s="245"/>
      <c r="H56" s="245"/>
      <c r="I56" s="245"/>
      <c r="J56" s="245"/>
      <c r="K56" s="245"/>
      <c r="L56" s="246"/>
      <c r="M56" s="247"/>
      <c r="N56" s="36"/>
    </row>
    <row r="57" spans="2:17" s="97" customFormat="1" ht="15" customHeight="1" x14ac:dyDescent="0.2">
      <c r="B57" s="221" t="s">
        <v>97</v>
      </c>
      <c r="C57" s="491"/>
      <c r="D57" s="492"/>
      <c r="E57" s="492"/>
      <c r="F57" s="492"/>
      <c r="G57" s="492"/>
      <c r="H57" s="492"/>
      <c r="I57" s="492"/>
      <c r="J57" s="492"/>
      <c r="K57" s="493"/>
      <c r="L57" s="494">
        <f>(L52+L54)/(1-D55-G55-J55)</f>
        <v>9.8591784785609047</v>
      </c>
      <c r="M57" s="495"/>
      <c r="O57" s="5"/>
      <c r="P57" s="120"/>
      <c r="Q57" s="5"/>
    </row>
    <row r="58" spans="2:17" s="97" customFormat="1" ht="15" customHeight="1" x14ac:dyDescent="0.2">
      <c r="B58" s="248" t="s">
        <v>62</v>
      </c>
      <c r="C58" s="486"/>
      <c r="D58" s="487"/>
      <c r="E58" s="487"/>
      <c r="F58" s="487"/>
      <c r="G58" s="487"/>
      <c r="H58" s="487"/>
      <c r="I58" s="487"/>
      <c r="J58" s="487"/>
      <c r="K58" s="488"/>
      <c r="L58" s="489">
        <f>L14/L8</f>
        <v>1.6434605828865909</v>
      </c>
      <c r="M58" s="490"/>
      <c r="O58" s="5"/>
      <c r="P58" s="120"/>
      <c r="Q58" s="5"/>
    </row>
    <row r="59" spans="2:17" ht="9.9499999999999993" customHeight="1" thickBot="1" x14ac:dyDescent="0.25">
      <c r="B59" s="217"/>
      <c r="C59" s="219"/>
      <c r="D59" s="219"/>
      <c r="E59" s="219"/>
      <c r="F59" s="219"/>
      <c r="G59" s="219"/>
      <c r="H59" s="219"/>
      <c r="I59" s="219"/>
      <c r="J59" s="219"/>
      <c r="K59" s="219"/>
      <c r="L59" s="218"/>
      <c r="M59" s="223"/>
      <c r="N59" s="36"/>
    </row>
    <row r="60" spans="2:17" ht="20.100000000000001" customHeight="1" thickBot="1" x14ac:dyDescent="0.25">
      <c r="B60" s="249" t="s">
        <v>84</v>
      </c>
      <c r="C60" s="480"/>
      <c r="D60" s="480"/>
      <c r="E60" s="480"/>
      <c r="F60" s="480"/>
      <c r="G60" s="480"/>
      <c r="H60" s="480"/>
      <c r="I60" s="480"/>
      <c r="J60" s="480"/>
      <c r="K60" s="480"/>
      <c r="L60" s="420">
        <f>L57/L58</f>
        <v>5.9990355602226515</v>
      </c>
      <c r="M60" s="374"/>
      <c r="N60" s="36"/>
    </row>
    <row r="61" spans="2:17" x14ac:dyDescent="0.2">
      <c r="N61" s="122"/>
    </row>
    <row r="62" spans="2:17" x14ac:dyDescent="0.2">
      <c r="I62" s="531"/>
      <c r="J62" s="531"/>
      <c r="K62" s="531"/>
      <c r="L62" s="531"/>
      <c r="M62" s="531"/>
      <c r="N62" s="130"/>
    </row>
    <row r="63" spans="2:17" x14ac:dyDescent="0.2">
      <c r="K63" s="181"/>
      <c r="L63" s="120"/>
      <c r="M63" s="172"/>
    </row>
    <row r="64" spans="2:17" x14ac:dyDescent="0.2">
      <c r="K64" s="181"/>
      <c r="L64" s="120"/>
      <c r="M64" s="138"/>
    </row>
    <row r="65" spans="11:12" x14ac:dyDescent="0.2">
      <c r="K65" s="122"/>
      <c r="L65" s="161"/>
    </row>
  </sheetData>
  <mergeCells count="53"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F8:G8"/>
    <mergeCell ref="F6:H6"/>
    <mergeCell ref="C9:D9"/>
    <mergeCell ref="C10:D10"/>
    <mergeCell ref="C12:E12"/>
    <mergeCell ref="L9:M9"/>
    <mergeCell ref="B16:B17"/>
    <mergeCell ref="L16:M16"/>
    <mergeCell ref="C54:K54"/>
    <mergeCell ref="C16:E16"/>
    <mergeCell ref="F16:H16"/>
    <mergeCell ref="I9:J9"/>
    <mergeCell ref="F9:G9"/>
    <mergeCell ref="L11:M11"/>
    <mergeCell ref="L13:M13"/>
    <mergeCell ref="F13:H13"/>
    <mergeCell ref="I12:K12"/>
    <mergeCell ref="F12:H12"/>
    <mergeCell ref="C60:K60"/>
    <mergeCell ref="I16:K16"/>
    <mergeCell ref="L10:M10"/>
    <mergeCell ref="C58:K58"/>
    <mergeCell ref="L58:M58"/>
    <mergeCell ref="C57:K57"/>
    <mergeCell ref="L57:M57"/>
    <mergeCell ref="I10:J10"/>
    <mergeCell ref="F10:G10"/>
  </mergeCells>
  <phoneticPr fontId="0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>
    <oddHeader>&amp;A</oddHeader>
    <oddFooter>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pane ySplit="1" topLeftCell="A2" activePane="bottomLeft" state="frozen"/>
      <selection pane="bottomLeft" activeCell="E42" sqref="E42"/>
    </sheetView>
  </sheetViews>
  <sheetFormatPr defaultRowHeight="12" x14ac:dyDescent="0.15"/>
  <cols>
    <col min="1" max="1" width="24.25" bestFit="1" customWidth="1"/>
    <col min="2" max="2" width="16.5" bestFit="1" customWidth="1"/>
    <col min="3" max="3" width="7.125" bestFit="1" customWidth="1"/>
    <col min="4" max="4" width="11.125" customWidth="1"/>
    <col min="5" max="5" width="16.125" bestFit="1" customWidth="1"/>
    <col min="6" max="6" width="3.25" hidden="1" customWidth="1"/>
  </cols>
  <sheetData>
    <row r="1" spans="1:6" ht="16.5" thickBot="1" x14ac:dyDescent="0.3">
      <c r="A1" s="382" t="s">
        <v>148</v>
      </c>
      <c r="B1" s="375" t="s">
        <v>138</v>
      </c>
      <c r="C1" s="376" t="s">
        <v>139</v>
      </c>
      <c r="D1" s="377" t="s">
        <v>140</v>
      </c>
      <c r="E1" s="378" t="s">
        <v>141</v>
      </c>
      <c r="F1" s="348" t="s">
        <v>142</v>
      </c>
    </row>
    <row r="2" spans="1:6" ht="15.75" x14ac:dyDescent="0.25">
      <c r="A2" s="349" t="s">
        <v>73</v>
      </c>
      <c r="B2" s="346"/>
      <c r="C2" s="347"/>
      <c r="D2" s="346"/>
      <c r="E2" s="346"/>
      <c r="F2" s="346"/>
    </row>
    <row r="3" spans="1:6" ht="15.75" x14ac:dyDescent="0.25">
      <c r="A3" s="350" t="s">
        <v>143</v>
      </c>
      <c r="B3" s="379">
        <f>'TÁRIFA '!L21</f>
        <v>1.7971828687244871</v>
      </c>
      <c r="C3" s="351">
        <f>B3/$B$42</f>
        <v>0.18228525557504796</v>
      </c>
      <c r="D3" s="352">
        <f>C3*'TÁRIFA '!L60</f>
        <v>1.093535730298987</v>
      </c>
      <c r="E3" s="353">
        <f>D3*'TÁRIFA '!$L$14</f>
        <v>1762225.1746267055</v>
      </c>
      <c r="F3" s="353">
        <f>E3*'[1]TÁRIFA '!$T$17</f>
        <v>21146702.095520467</v>
      </c>
    </row>
    <row r="4" spans="1:6" ht="15.75" x14ac:dyDescent="0.25">
      <c r="A4" s="350" t="s">
        <v>117</v>
      </c>
      <c r="B4" s="379">
        <f>'TÁRIFA '!L22</f>
        <v>1.6827663075952983E-2</v>
      </c>
      <c r="C4" s="351">
        <f t="shared" ref="C4:C9" si="0">B4/$B$42</f>
        <v>1.7068017495114089E-3</v>
      </c>
      <c r="D4" s="352">
        <f>C4*'TÁRIFA '!$L$60</f>
        <v>1.0239164389569176E-2</v>
      </c>
      <c r="E4" s="353">
        <f>D4*'TÁRIFA '!$L$14</f>
        <v>16500.34173964</v>
      </c>
      <c r="F4" s="353">
        <f>E4*'[1]TÁRIFA '!$T$17</f>
        <v>198004.10087567999</v>
      </c>
    </row>
    <row r="5" spans="1:6" ht="15.75" x14ac:dyDescent="0.25">
      <c r="A5" s="350" t="s">
        <v>0</v>
      </c>
      <c r="B5" s="379">
        <f>'TÁRIFA '!L23</f>
        <v>9.0700526590022021E-2</v>
      </c>
      <c r="C5" s="351">
        <f t="shared" si="0"/>
        <v>9.1996028662279707E-3</v>
      </c>
      <c r="D5" s="352">
        <f>C5*'TÁRIFA '!$L$60</f>
        <v>5.5188744734427822E-2</v>
      </c>
      <c r="E5" s="353">
        <f>D5*'TÁRIFA '!$L$14</f>
        <v>88936.275818317299</v>
      </c>
      <c r="F5" s="353">
        <f>E5*'[1]TÁRIFA '!$T$17</f>
        <v>1067235.3098198075</v>
      </c>
    </row>
    <row r="6" spans="1:6" ht="15.75" x14ac:dyDescent="0.25">
      <c r="A6" s="354" t="s">
        <v>55</v>
      </c>
      <c r="B6" s="379">
        <f>'TÁRIFA '!L24</f>
        <v>0.10128849260274925</v>
      </c>
      <c r="C6" s="351">
        <f t="shared" si="0"/>
        <v>1.0273522568133266E-2</v>
      </c>
      <c r="D6" s="352">
        <f>C6*'TÁRIFA '!$L$60</f>
        <v>6.1631227214981404E-2</v>
      </c>
      <c r="E6" s="353">
        <f>D6*'TÁRIFA '!$L$14</f>
        <v>99318.291238352031</v>
      </c>
      <c r="F6" s="353">
        <f>E6*'[1]TÁRIFA '!$T$17</f>
        <v>1191819.4948602244</v>
      </c>
    </row>
    <row r="7" spans="1:6" ht="15.75" x14ac:dyDescent="0.25">
      <c r="A7" s="354" t="s">
        <v>56</v>
      </c>
      <c r="B7" s="379">
        <f>'TÁRIFA '!L25</f>
        <v>1.6005229516872242E-2</v>
      </c>
      <c r="C7" s="351">
        <f t="shared" si="0"/>
        <v>1.62338368776629E-3</v>
      </c>
      <c r="D7" s="352">
        <f>C7*'TÁRIFA '!$L$60</f>
        <v>9.7387364707953606E-3</v>
      </c>
      <c r="E7" s="353">
        <f>D7*'TÁRIFA '!$L$14</f>
        <v>15693.905651531428</v>
      </c>
      <c r="F7" s="353">
        <f>E7*'[1]TÁRIFA '!$T$17</f>
        <v>188326.86781837713</v>
      </c>
    </row>
    <row r="8" spans="1:6" ht="15.75" x14ac:dyDescent="0.25">
      <c r="A8" s="354" t="s">
        <v>57</v>
      </c>
      <c r="B8" s="379">
        <f>'TÁRIFA '!L26</f>
        <v>7.1692323086201784E-2</v>
      </c>
      <c r="C8" s="351">
        <f t="shared" si="0"/>
        <v>7.2716325444456666E-3</v>
      </c>
      <c r="D8" s="352">
        <f>C8*'TÁRIFA '!$L$60</f>
        <v>4.3622782215001876E-2</v>
      </c>
      <c r="E8" s="353">
        <f>D8*'TÁRIFA '!$L$14</f>
        <v>70297.808180000022</v>
      </c>
      <c r="F8" s="353">
        <f>E8*'[1]TÁRIFA '!$T$17</f>
        <v>843573.69816000026</v>
      </c>
    </row>
    <row r="9" spans="1:6" ht="15.75" x14ac:dyDescent="0.25">
      <c r="A9" s="354" t="s">
        <v>58</v>
      </c>
      <c r="B9" s="379">
        <f>'TÁRIFA '!L27</f>
        <v>1.1028806012234044E-2</v>
      </c>
      <c r="C9" s="351">
        <f t="shared" si="0"/>
        <v>1.1186333664834785E-3</v>
      </c>
      <c r="D9" s="352">
        <f>C9*'TÁRIFA '!$L$60</f>
        <v>6.7107213443859653E-3</v>
      </c>
      <c r="E9" s="353">
        <f>D9*'TÁRIFA '!$L$14</f>
        <v>10814.280471428572</v>
      </c>
      <c r="F9" s="353">
        <f>E9*'[1]TÁRIFA '!$T$17</f>
        <v>129771.36565714286</v>
      </c>
    </row>
    <row r="10" spans="1:6" ht="15.75" x14ac:dyDescent="0.25">
      <c r="A10" s="355" t="s">
        <v>144</v>
      </c>
      <c r="B10" s="380">
        <f>SUM(B3:B9)</f>
        <v>2.1047259096085194</v>
      </c>
      <c r="C10" s="356">
        <f>SUM(C3:C9)</f>
        <v>0.21347883235761606</v>
      </c>
      <c r="D10" s="357">
        <f>SUM(D3:D9)</f>
        <v>1.2806671066681488</v>
      </c>
      <c r="E10" s="358">
        <f>SUM(E3:E9)</f>
        <v>2063786.0777259746</v>
      </c>
      <c r="F10" s="358">
        <f>SUM(F3:F9)</f>
        <v>24765432.932711698</v>
      </c>
    </row>
    <row r="11" spans="1:6" ht="15.75" x14ac:dyDescent="0.25">
      <c r="A11" s="9"/>
      <c r="B11" s="346"/>
      <c r="C11" s="347"/>
      <c r="D11" s="359"/>
      <c r="E11" s="360"/>
      <c r="F11" s="361"/>
    </row>
    <row r="12" spans="1:6" ht="15.75" x14ac:dyDescent="0.25">
      <c r="A12" s="349" t="s">
        <v>74</v>
      </c>
      <c r="B12" s="346" t="s">
        <v>105</v>
      </c>
      <c r="C12" s="347" t="s">
        <v>105</v>
      </c>
      <c r="D12" s="359" t="s">
        <v>105</v>
      </c>
      <c r="E12" s="360" t="s">
        <v>105</v>
      </c>
      <c r="F12" s="362"/>
    </row>
    <row r="13" spans="1:6" ht="15.75" x14ac:dyDescent="0.25">
      <c r="A13" s="363" t="s">
        <v>3</v>
      </c>
      <c r="B13" s="381">
        <f>'TÁRIFA '!L30</f>
        <v>0.75247042974154787</v>
      </c>
      <c r="C13" s="364">
        <f>B13/$B$42</f>
        <v>7.6321818433231395E-2</v>
      </c>
      <c r="D13" s="365">
        <f>C13*'TÁRIFA '!$L$60</f>
        <v>0.45785730280181181</v>
      </c>
      <c r="E13" s="366">
        <f>D13*'TÁRIFA '!$L$14</f>
        <v>737833.83846400015</v>
      </c>
      <c r="F13" s="366">
        <f>E13*'[1]TÁRIFA '!$T$17</f>
        <v>8854006.0615680013</v>
      </c>
    </row>
    <row r="14" spans="1:6" ht="15.75" x14ac:dyDescent="0.25">
      <c r="A14" s="367" t="s">
        <v>4</v>
      </c>
      <c r="B14" s="381">
        <f>'TÁRIFA '!L31</f>
        <v>1.8067381085615111</v>
      </c>
      <c r="C14" s="364">
        <f t="shared" ref="C14:C24" si="1">B14/$B$42</f>
        <v>0.18325442758646882</v>
      </c>
      <c r="D14" s="365">
        <f>C14*'TÁRIFA '!$L$60</f>
        <v>1.0993498276594733</v>
      </c>
      <c r="E14" s="366">
        <f>D14*'TÁRIFA '!$L$14</f>
        <v>1771594.5518244477</v>
      </c>
      <c r="F14" s="366">
        <f>E14*'[1]TÁRIFA '!$T$17</f>
        <v>21259134.621893372</v>
      </c>
    </row>
    <row r="15" spans="1:6" ht="15.75" x14ac:dyDescent="0.25">
      <c r="A15" s="367" t="s">
        <v>5</v>
      </c>
      <c r="B15" s="381">
        <f>'TÁRIFA '!L32</f>
        <v>0.76537540134122184</v>
      </c>
      <c r="C15" s="364">
        <f t="shared" si="1"/>
        <v>7.7630748140481973E-2</v>
      </c>
      <c r="D15" s="365">
        <f>C15*'TÁRIFA '!$L$60</f>
        <v>0.46570961866143984</v>
      </c>
      <c r="E15" s="366">
        <f>D15*'TÁRIFA '!$L$14</f>
        <v>750487.79050557967</v>
      </c>
      <c r="F15" s="366">
        <f>E15*'[1]TÁRIFA '!$T$17</f>
        <v>9005853.4860669561</v>
      </c>
    </row>
    <row r="16" spans="1:6" ht="15.75" x14ac:dyDescent="0.25">
      <c r="A16" s="367" t="s">
        <v>59</v>
      </c>
      <c r="B16" s="381">
        <f>'TÁRIFA '!L33</f>
        <v>0.11775311283136623</v>
      </c>
      <c r="C16" s="364">
        <f t="shared" si="1"/>
        <v>1.1943501488224815E-2</v>
      </c>
      <c r="D16" s="365">
        <f>C16*'TÁRIFA '!$L$60</f>
        <v>7.164949014143282E-2</v>
      </c>
      <c r="E16" s="366">
        <f>D16*'TÁRIFA '!$L$14</f>
        <v>115462.651816488</v>
      </c>
      <c r="F16" s="366">
        <f>E16*'[1]TÁRIFA '!$T$17</f>
        <v>1385551.8217978559</v>
      </c>
    </row>
    <row r="17" spans="1:6" ht="15.75" x14ac:dyDescent="0.25">
      <c r="A17" s="363" t="s">
        <v>6</v>
      </c>
      <c r="B17" s="381">
        <f>'TÁRIFA '!L34</f>
        <v>0.36313199406910346</v>
      </c>
      <c r="C17" s="364">
        <f t="shared" si="1"/>
        <v>3.6831871424048715E-2</v>
      </c>
      <c r="D17" s="365">
        <f>C17*'TÁRIFA '!$L$60</f>
        <v>0.22095570642241674</v>
      </c>
      <c r="E17" s="366">
        <f>D17*'TÁRIFA '!$L$14</f>
        <v>356068.57420977962</v>
      </c>
      <c r="F17" s="366">
        <f>E17*'[1]TÁRIFA '!$T$17</f>
        <v>4272822.8905173559</v>
      </c>
    </row>
    <row r="18" spans="1:6" ht="15.75" x14ac:dyDescent="0.25">
      <c r="A18" s="363" t="s">
        <v>44</v>
      </c>
      <c r="B18" s="381">
        <f>'TÁRIFA '!L35</f>
        <v>0.97236356713189231</v>
      </c>
      <c r="C18" s="364">
        <f t="shared" si="1"/>
        <v>9.8625211953138656E-2</v>
      </c>
      <c r="D18" s="365">
        <f>C18*'TÁRIFA '!$L$60</f>
        <v>0.59165615364137492</v>
      </c>
      <c r="E18" s="366">
        <f>D18*'TÁRIFA '!$L$14</f>
        <v>953449.75000000023</v>
      </c>
      <c r="F18" s="366">
        <f>E18*'[1]TÁRIFA '!$T$17</f>
        <v>11441397.000000004</v>
      </c>
    </row>
    <row r="19" spans="1:6" ht="15.75" x14ac:dyDescent="0.25">
      <c r="A19" s="363" t="s">
        <v>7</v>
      </c>
      <c r="B19" s="381">
        <f>'TÁRIFA '!L36</f>
        <v>1.8740695183136858E-2</v>
      </c>
      <c r="C19" s="364">
        <f t="shared" si="1"/>
        <v>1.9008373997781958E-3</v>
      </c>
      <c r="D19" s="365">
        <f>C19*'TÁRIFA '!$L$60</f>
        <v>1.1403191155470557E-2</v>
      </c>
      <c r="E19" s="366">
        <f>D19*'TÁRIFA '!$L$14</f>
        <v>18376.162724702714</v>
      </c>
      <c r="F19" s="366">
        <f>E19*'[1]TÁRIFA '!$T$17</f>
        <v>220513.95269643256</v>
      </c>
    </row>
    <row r="20" spans="1:6" ht="15.75" x14ac:dyDescent="0.25">
      <c r="A20" s="363" t="s">
        <v>8</v>
      </c>
      <c r="B20" s="381">
        <f>'TÁRIFA '!L37</f>
        <v>0</v>
      </c>
      <c r="C20" s="364">
        <f t="shared" si="1"/>
        <v>0</v>
      </c>
      <c r="D20" s="365">
        <f>C20*'TÁRIFA '!$L$60</f>
        <v>0</v>
      </c>
      <c r="E20" s="366">
        <f>D20*'TÁRIFA '!$L$14</f>
        <v>0</v>
      </c>
      <c r="F20" s="366">
        <f>E20*'[1]TÁRIFA '!$T$17</f>
        <v>0</v>
      </c>
    </row>
    <row r="21" spans="1:6" ht="15.75" x14ac:dyDescent="0.25">
      <c r="A21" s="363" t="s">
        <v>72</v>
      </c>
      <c r="B21" s="381">
        <f>'TÁRIFA '!L38</f>
        <v>3.426648386940697E-2</v>
      </c>
      <c r="C21" s="364">
        <f t="shared" si="1"/>
        <v>3.4755922051640025E-3</v>
      </c>
      <c r="D21" s="365">
        <f>C21*'TÁRIFA '!$L$60</f>
        <v>2.0850201231611513E-2</v>
      </c>
      <c r="E21" s="366">
        <f>D21*'TÁRIFA '!$L$14</f>
        <v>33599.953333333331</v>
      </c>
      <c r="F21" s="366">
        <f>E21*'[1]TÁRIFA '!$T$17</f>
        <v>403199.43999999994</v>
      </c>
    </row>
    <row r="22" spans="1:6" ht="15.75" x14ac:dyDescent="0.25">
      <c r="A22" s="363" t="s">
        <v>12</v>
      </c>
      <c r="B22" s="381">
        <f>'TÁRIFA '!L39</f>
        <v>0.28243599538708042</v>
      </c>
      <c r="C22" s="364">
        <f t="shared" si="1"/>
        <v>2.8647011107593438E-2</v>
      </c>
      <c r="D22" s="365">
        <f>C22*'TÁRIFA '!$L$60</f>
        <v>0.17185443832854633</v>
      </c>
      <c r="E22" s="366">
        <f>D22*'TÁRIFA '!$L$14</f>
        <v>276942.22438538412</v>
      </c>
      <c r="F22" s="366">
        <f>E22*'[1]TÁRIFA '!$T$17</f>
        <v>3323306.6926246095</v>
      </c>
    </row>
    <row r="23" spans="1:6" ht="15.75" x14ac:dyDescent="0.25">
      <c r="A23" s="363" t="s">
        <v>10</v>
      </c>
      <c r="B23" s="381">
        <f>'TÁRIFA '!L40</f>
        <v>0.46635892656239286</v>
      </c>
      <c r="C23" s="364">
        <f t="shared" si="1"/>
        <v>4.7302006711462327E-2</v>
      </c>
      <c r="D23" s="365">
        <f>C23*'TÁRIFA '!$L$60</f>
        <v>0.28376642033195304</v>
      </c>
      <c r="E23" s="366">
        <f>D23*'TÁRIFA '!$L$14</f>
        <v>457287.6</v>
      </c>
      <c r="F23" s="366">
        <f>E23*'[1]TÁRIFA '!$T$17</f>
        <v>5487451.1999999993</v>
      </c>
    </row>
    <row r="24" spans="1:6" ht="15.75" x14ac:dyDescent="0.25">
      <c r="A24" s="363" t="s">
        <v>11</v>
      </c>
      <c r="B24" s="381">
        <f>'TÁRIFA '!L41</f>
        <v>0.20277113103793312</v>
      </c>
      <c r="C24" s="364">
        <f t="shared" si="1"/>
        <v>2.0566737023664329E-2</v>
      </c>
      <c r="D24" s="365">
        <f>C24*'TÁRIFA '!$L$60</f>
        <v>0.12338058676271009</v>
      </c>
      <c r="E24" s="366">
        <f>D24*'TÁRIFA '!$L$14</f>
        <v>198826.95190399996</v>
      </c>
      <c r="F24" s="366">
        <f>E24*'[1]TÁRIFA '!$T$17</f>
        <v>2385923.4228479993</v>
      </c>
    </row>
    <row r="25" spans="1:6" ht="15.75" x14ac:dyDescent="0.25">
      <c r="A25" s="355" t="s">
        <v>145</v>
      </c>
      <c r="B25" s="380">
        <f>SUM(B13:B24)</f>
        <v>5.7824058457165934</v>
      </c>
      <c r="C25" s="356">
        <f>SUM(C13:C24)</f>
        <v>0.58649976347325672</v>
      </c>
      <c r="D25" s="357">
        <f>SUM(D13:D24)</f>
        <v>3.5184329371382415</v>
      </c>
      <c r="E25" s="358">
        <f>SUM(E13:E24)</f>
        <v>5669930.049167715</v>
      </c>
      <c r="F25" s="358">
        <f>SUM(F13:F24)</f>
        <v>68039160.590012595</v>
      </c>
    </row>
    <row r="26" spans="1:6" ht="15.75" x14ac:dyDescent="0.25">
      <c r="A26" s="9"/>
      <c r="B26" s="346"/>
      <c r="C26" s="347"/>
      <c r="D26" s="359"/>
      <c r="E26" s="360"/>
      <c r="F26" s="361"/>
    </row>
    <row r="27" spans="1:6" ht="15.75" x14ac:dyDescent="0.25">
      <c r="A27" s="349" t="s">
        <v>81</v>
      </c>
      <c r="B27" s="346">
        <f>B25+B10</f>
        <v>7.8871317553251128</v>
      </c>
      <c r="C27" s="347">
        <f>C25+C10</f>
        <v>0.79997859583087272</v>
      </c>
      <c r="D27" s="346">
        <f>D25+D10</f>
        <v>4.7991000438063907</v>
      </c>
      <c r="E27" s="368">
        <f>E25+E10</f>
        <v>7733716.1268936899</v>
      </c>
      <c r="F27" s="368">
        <f>F25+F10</f>
        <v>92804593.522724301</v>
      </c>
    </row>
    <row r="28" spans="1:6" ht="15.75" x14ac:dyDescent="0.25">
      <c r="A28" s="9"/>
      <c r="B28" s="346" t="s">
        <v>105</v>
      </c>
      <c r="C28" s="347" t="s">
        <v>105</v>
      </c>
      <c r="D28" s="359" t="s">
        <v>105</v>
      </c>
      <c r="E28" s="360"/>
      <c r="F28" s="361"/>
    </row>
    <row r="29" spans="1:6" ht="15.75" x14ac:dyDescent="0.25">
      <c r="A29" s="349" t="s">
        <v>82</v>
      </c>
      <c r="B29" s="346" t="s">
        <v>105</v>
      </c>
      <c r="C29" s="347" t="s">
        <v>105</v>
      </c>
      <c r="D29" s="359" t="s">
        <v>105</v>
      </c>
      <c r="E29" s="360"/>
      <c r="F29" s="362"/>
    </row>
    <row r="30" spans="1:6" ht="15.75" x14ac:dyDescent="0.25">
      <c r="A30" s="350" t="s">
        <v>76</v>
      </c>
      <c r="B30" s="379">
        <f>'TÁRIFA '!L46</f>
        <v>0.64425762664071728</v>
      </c>
      <c r="C30" s="351">
        <f>B30/$B$42</f>
        <v>6.5345974620672084E-2</v>
      </c>
      <c r="D30" s="352">
        <f>C30*'TÁRIFA '!$L$60</f>
        <v>0.3920128254668187</v>
      </c>
      <c r="E30" s="353">
        <f>D30*'TÁRIFA '!$L$14</f>
        <v>631725.92415000009</v>
      </c>
      <c r="F30" s="353">
        <f>E30*'[1]TÁRIFA '!$T$17</f>
        <v>7580711.0898000011</v>
      </c>
    </row>
    <row r="31" spans="1:6" ht="15.75" x14ac:dyDescent="0.25">
      <c r="A31" s="350" t="s">
        <v>75</v>
      </c>
      <c r="B31" s="379">
        <f>'TÁRIFA '!L47</f>
        <v>1.4132088683708877E-2</v>
      </c>
      <c r="C31" s="351">
        <f>B31/$B$42</f>
        <v>1.4333941427715859E-3</v>
      </c>
      <c r="D31" s="352">
        <f>C31*'TÁRIFA '!$L$60</f>
        <v>8.5989824343016084E-3</v>
      </c>
      <c r="E31" s="353">
        <f>D31*'TÁRIFA '!$L$14</f>
        <v>13857.200000000003</v>
      </c>
      <c r="F31" s="353">
        <f>E31*'[1]TÁRIFA '!$T$17</f>
        <v>166286.40000000002</v>
      </c>
    </row>
    <row r="32" spans="1:6" ht="15.75" x14ac:dyDescent="0.25">
      <c r="A32" s="350" t="s">
        <v>77</v>
      </c>
      <c r="B32" s="379">
        <f>'TÁRIFA '!L48</f>
        <v>0.3471246810120428</v>
      </c>
      <c r="C32" s="351">
        <f>B32/$B$42</f>
        <v>3.5208276406282366E-2</v>
      </c>
      <c r="D32" s="352">
        <f>C32*'TÁRIFA '!$L$60</f>
        <v>0.21121570217543609</v>
      </c>
      <c r="E32" s="353">
        <f>D32*'TÁRIFA '!$L$14</f>
        <v>340372.62554580002</v>
      </c>
      <c r="F32" s="353">
        <f>E32*'[1]TÁRIFA '!$T$17</f>
        <v>4084471.5065496005</v>
      </c>
    </row>
    <row r="33" spans="1:6" ht="15.75" x14ac:dyDescent="0.25">
      <c r="A33" s="350" t="s">
        <v>78</v>
      </c>
      <c r="B33" s="379">
        <f>'TÁRIFA '!L49</f>
        <v>5.6528354734835508E-2</v>
      </c>
      <c r="C33" s="351">
        <f>B33/$B$42</f>
        <v>5.7335765710863438E-3</v>
      </c>
      <c r="D33" s="352">
        <f>C33*'TÁRIFA '!$L$60</f>
        <v>3.4395929737206433E-2</v>
      </c>
      <c r="E33" s="353">
        <f>D33*'TÁRIFA '!$L$14</f>
        <v>55428.80000000001</v>
      </c>
      <c r="F33" s="353">
        <f>E33*'[1]TÁRIFA '!$T$17</f>
        <v>665145.60000000009</v>
      </c>
    </row>
    <row r="34" spans="1:6" ht="15.75" x14ac:dyDescent="0.25">
      <c r="A34" s="350" t="s">
        <v>79</v>
      </c>
      <c r="B34" s="379">
        <f>'TÁRIFA '!L50</f>
        <v>4.2396266051126626E-2</v>
      </c>
      <c r="C34" s="351">
        <f>B34/$B$42</f>
        <v>4.3001824283147574E-3</v>
      </c>
      <c r="D34" s="352">
        <f>C34*'TÁRIFA '!$L$60</f>
        <v>2.5796947302904823E-2</v>
      </c>
      <c r="E34" s="353">
        <f>D34*'TÁRIFA '!$L$14</f>
        <v>41571.600000000006</v>
      </c>
      <c r="F34" s="353">
        <f>E34*'[1]TÁRIFA '!$T$17</f>
        <v>498859.20000000007</v>
      </c>
    </row>
    <row r="35" spans="1:6" ht="15.75" x14ac:dyDescent="0.25">
      <c r="A35" s="355" t="s">
        <v>146</v>
      </c>
      <c r="B35" s="380">
        <f>SUM(B30:B34)</f>
        <v>1.104439017122431</v>
      </c>
      <c r="C35" s="356">
        <f>SUM(C30:C34)</f>
        <v>0.11202140416912715</v>
      </c>
      <c r="D35" s="357">
        <f>SUM(D30:D34)</f>
        <v>0.67202038711666767</v>
      </c>
      <c r="E35" s="358">
        <f>SUM(E30:E34)</f>
        <v>1082956.1496958002</v>
      </c>
      <c r="F35" s="358">
        <f>SUM(F30:F34)</f>
        <v>12995473.796349602</v>
      </c>
    </row>
    <row r="36" spans="1:6" ht="15.75" x14ac:dyDescent="0.25">
      <c r="A36" s="9"/>
      <c r="B36" s="346"/>
      <c r="C36" s="347"/>
      <c r="D36" s="359"/>
      <c r="E36" s="360"/>
      <c r="F36" s="361"/>
    </row>
    <row r="37" spans="1:6" ht="15.75" x14ac:dyDescent="0.25">
      <c r="A37" s="349" t="s">
        <v>80</v>
      </c>
      <c r="B37" s="346">
        <f>B27+B35</f>
        <v>8.9915707724475435</v>
      </c>
      <c r="C37" s="347">
        <f>C35+C27</f>
        <v>0.91199999999999992</v>
      </c>
      <c r="D37" s="346">
        <f>D27+D35</f>
        <v>5.4711204309230581</v>
      </c>
      <c r="E37" s="368">
        <f>E27+E35</f>
        <v>8816672.2765894905</v>
      </c>
      <c r="F37" s="368">
        <f>F27+F35</f>
        <v>105800067.3190739</v>
      </c>
    </row>
    <row r="38" spans="1:6" ht="15.75" x14ac:dyDescent="0.25">
      <c r="A38" s="9"/>
      <c r="B38" s="346" t="s">
        <v>105</v>
      </c>
      <c r="C38" s="347" t="s">
        <v>105</v>
      </c>
      <c r="D38" s="359" t="s">
        <v>105</v>
      </c>
      <c r="E38" s="360"/>
      <c r="F38" s="361"/>
    </row>
    <row r="39" spans="1:6" ht="15.75" x14ac:dyDescent="0.25">
      <c r="A39" s="369" t="s">
        <v>83</v>
      </c>
      <c r="B39" s="381">
        <f>'TÁRIFA '!L54</f>
        <v>0.47324056697092409</v>
      </c>
      <c r="C39" s="364">
        <f>B39/B42</f>
        <v>4.800000000000007E-2</v>
      </c>
      <c r="D39" s="365">
        <f>C39*'TÁRIFA '!L60</f>
        <v>0.28795370689068772</v>
      </c>
      <c r="E39" s="366">
        <f>D39*'TÁRIFA '!L14</f>
        <v>464035.38297839504</v>
      </c>
      <c r="F39" s="366">
        <f>E39*'[1]TÁRIFA '!$T$17</f>
        <v>5568424.5957407402</v>
      </c>
    </row>
    <row r="40" spans="1:6" ht="15.75" x14ac:dyDescent="0.25">
      <c r="A40" s="370" t="s">
        <v>9</v>
      </c>
      <c r="B40" s="381">
        <f>'TÁRIFA '!L55</f>
        <v>0.39436713914243704</v>
      </c>
      <c r="C40" s="364">
        <f>B40/B42</f>
        <v>4.0000000000000084E-2</v>
      </c>
      <c r="D40" s="365">
        <f>C40*'TÁRIFA '!L60</f>
        <v>0.23996142240890656</v>
      </c>
      <c r="E40" s="366">
        <f>D40*'TÁRIFA '!L14</f>
        <v>386696.15248199605</v>
      </c>
      <c r="F40" s="366">
        <f>E40*'[1]TÁRIFA '!$T$17</f>
        <v>4640353.8297839528</v>
      </c>
    </row>
    <row r="41" spans="1:6" ht="16.5" thickBot="1" x14ac:dyDescent="0.3">
      <c r="A41" s="371"/>
      <c r="B41" s="346" t="s">
        <v>105</v>
      </c>
      <c r="C41" s="372"/>
      <c r="D41" s="359" t="s">
        <v>105</v>
      </c>
      <c r="E41" s="360"/>
      <c r="F41" s="361"/>
    </row>
    <row r="42" spans="1:6" ht="16.5" thickBot="1" x14ac:dyDescent="0.3">
      <c r="A42" s="385" t="s">
        <v>147</v>
      </c>
      <c r="B42" s="386">
        <f>B37+B39+B40</f>
        <v>9.8591784785609047</v>
      </c>
      <c r="C42" s="387">
        <f>C37+C39+C40</f>
        <v>1</v>
      </c>
      <c r="D42" s="388">
        <f>C42*'TÁRIFA '!L60</f>
        <v>5.9990355602226515</v>
      </c>
      <c r="E42" s="389">
        <f>D42*'TÁRIFA '!L14</f>
        <v>9667403.8120498806</v>
      </c>
      <c r="F42" s="373">
        <f>F37+F39+F40</f>
        <v>116008845.74459858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KM, PASSAGEIROS E PESSOAL</vt:lpstr>
      <vt:lpstr>FROTA E CUSTOS</vt:lpstr>
      <vt:lpstr>TÁRIFA </vt:lpstr>
      <vt:lpstr>REMUNERAÇÃO PROJETADA</vt:lpstr>
      <vt:lpstr>'FROTA E CUSTOS'!Area_de_impressao</vt:lpstr>
      <vt:lpstr>'KM, PASSAGEIROS E PESSOAL'!Area_de_impressao</vt:lpstr>
      <vt:lpstr>'TÁRIFA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FUNCIONARIOS</dc:creator>
  <cp:lastModifiedBy>Engenharia-07</cp:lastModifiedBy>
  <cp:lastPrinted>2021-08-24T22:42:19Z</cp:lastPrinted>
  <dcterms:created xsi:type="dcterms:W3CDTF">1999-04-07T20:57:43Z</dcterms:created>
  <dcterms:modified xsi:type="dcterms:W3CDTF">2024-04-01T19:43:36Z</dcterms:modified>
</cp:coreProperties>
</file>